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<sst xmlns="http://schemas.openxmlformats.org/spreadsheetml/2006/main" count="249" uniqueCount="133">
  <si>
    <t>WKA1</t>
  </si>
  <si>
    <t>WKA2</t>
  </si>
  <si>
    <t>WKA3</t>
  </si>
  <si>
    <t>WKA4</t>
  </si>
  <si>
    <t>Höhe WKA</t>
  </si>
  <si>
    <t>Rotorradius</t>
  </si>
  <si>
    <t>Peilung WKA</t>
  </si>
  <si>
    <t>Alle Angaben m, soweit nicht Faktoren</t>
  </si>
  <si>
    <t>Bezugsobjekt Abstand</t>
  </si>
  <si>
    <t>Faktor Nabenhöhe gesamt</t>
  </si>
  <si>
    <t>Anteil Nabenhöhe verdeckt</t>
  </si>
  <si>
    <t>Nabenhöhe</t>
  </si>
  <si>
    <t>Breite real</t>
  </si>
  <si>
    <t>Breite im Foto</t>
  </si>
  <si>
    <t>Maß Nabenhöhe gesamt im Photo</t>
  </si>
  <si>
    <t>Maß Sichtbarer Teil Turm im Photo</t>
  </si>
  <si>
    <t>Höhe WEA-Standort über NN</t>
  </si>
  <si>
    <t>Abstand WKA - Photopunkt</t>
  </si>
  <si>
    <t>Höhe Photograph über NN</t>
  </si>
  <si>
    <t>Höhe vorgelagerter Berg incl. Bäume über NN</t>
  </si>
  <si>
    <t>(Vielfaches vom Bezugsobjekt)</t>
  </si>
  <si>
    <t xml:space="preserve">UMT32-Koordinaten </t>
  </si>
  <si>
    <t>OST</t>
  </si>
  <si>
    <t>NORD</t>
  </si>
  <si>
    <t>in Abstand</t>
  </si>
  <si>
    <t xml:space="preserve">Verdeckung durch Berg </t>
  </si>
  <si>
    <t>Bezug</t>
  </si>
  <si>
    <t>Verdeckung der unteren X Meter des WKA-Turms über Photographen</t>
  </si>
  <si>
    <t>Verdeckung des WKA-Turms über jeweiligem Grund</t>
  </si>
  <si>
    <t>ost</t>
  </si>
  <si>
    <t>nord</t>
  </si>
  <si>
    <t>Vestas V136-3.45</t>
  </si>
  <si>
    <t>WKA5</t>
  </si>
  <si>
    <t>WKA6</t>
  </si>
  <si>
    <t>Photos aus Youtube-Video vom Testgelände in Osterild, mutmaßlich dort 132 m Turm</t>
  </si>
  <si>
    <t>Rotlauf nördl. Plateau</t>
  </si>
  <si>
    <t>Wolfsberg</t>
  </si>
  <si>
    <t>Nordflanke Rotlauf</t>
  </si>
  <si>
    <t>Nordflanke Rotlauf in Flucht mit WEA5, minimal links</t>
  </si>
  <si>
    <t>Abstand Kreisjugendheim</t>
  </si>
  <si>
    <t>815 m</t>
  </si>
  <si>
    <t>Niedrwm Weinbergstr. Ecke Am Weinberg</t>
  </si>
  <si>
    <t>Strommast nördlich zu Strommast in Höhe Autobahnkreisel, Abstand zur Mitte, Breite orthogonal zur Blickrichtung WEA1</t>
  </si>
  <si>
    <t>Zwei Breiten links vom Strommast in Höhe Autobahnkreisel</t>
  </si>
  <si>
    <t>681m</t>
  </si>
  <si>
    <t>Links vom Holzstrommasten mit TBalken vor Autobahn</t>
  </si>
  <si>
    <t>670m</t>
  </si>
  <si>
    <t>Südl Anfang des Fichtenbestandes am Fuße des Rotlauf</t>
  </si>
  <si>
    <t>fast linke Firstkante Haus Kiefernweg 2</t>
  </si>
  <si>
    <t>fast rechte Firstkante Haus Kiefernweg 2</t>
  </si>
  <si>
    <t>alternativ Strommast in Verlänerung auffahrt bis graue Rückseite vom Hinweisschild auf abfahrt NW aus Ri Gi liefert exakt dieselben Werte mit 1543 m Abstand, Breite real 163 m im Bild 303 Punkt</t>
  </si>
  <si>
    <t>Frauenberg, vor Ruine, unterm Bergahorn</t>
  </si>
  <si>
    <t>minimal links von Nr. 3, fast in Flucht</t>
  </si>
  <si>
    <t>Reihenfolge von li nach re im Bild: 4, 1, 5, 2, 6, 3</t>
  </si>
  <si>
    <t>zwei Bergbreiten links vom Gleibergturm, Projektion über Südflange Ruttershausen-Hügel im Fichtenbestand hinter Einzelfichtenreihe höhe linkeste Einzelfichte</t>
  </si>
  <si>
    <t>1/4 Breite rechts vom Ende Rapsfeld vor Waldrand, hinter Rücken der Rotlauf</t>
  </si>
  <si>
    <t>Strauchreihe vom Ulrichsbergwaldrand weg nach Lücke spitzer Strauch dann runder Strauch mittig durch</t>
  </si>
  <si>
    <t>Halbierung längskante Bortshäuser Waldrand, einmündung Feldweg von Rechtsunten in dem Waldrand parallel vorgelagerte Strauchreihe von links unten hinter erstem Fichtenbestand in Blickrichtung und vor zweitem = schlicht hinter Waldhorizont</t>
  </si>
  <si>
    <t>etwas rechts von Mitte Rapsfeldkante Waldstückkante, nach Lücke Doppelbaumreihe Standort in der Verlängerung rechts vom in sichtrichtung ersten fichtenbestand</t>
  </si>
  <si>
    <t>minimlast links von Dünsbergturm durch Dünsberggipfel</t>
  </si>
  <si>
    <t>Burgturm Gleiberg bis Dünsbergturm</t>
  </si>
  <si>
    <t>alternativ Ende linkes Rapsfeld vorm Waldrand hinter Ulrichsberg bis Waldecke 120 östlich Dreigemarkungseck liefert +/- 1% dieselben Ergebnisse</t>
  </si>
  <si>
    <t>Bild #2054</t>
  </si>
  <si>
    <t>wurden entsprechend auf ein Verhältnis Flügellänge 68 zu Nabenhöhe 166 ergänzt</t>
  </si>
  <si>
    <t>wegen tiefer Position Photograph wird Turm im Verhältnis zu den Flügeln überproportional lang gesehen, daher vorliegend noch Untertreibung</t>
  </si>
  <si>
    <t>Bild #3489</t>
  </si>
  <si>
    <t>Ritterstraße 15 Mauer linke Seitenmauer der Eingangstreppe</t>
  </si>
  <si>
    <t>50°808-988</t>
  </si>
  <si>
    <t>8°766-554</t>
  </si>
  <si>
    <t>Bäume unmittelbar vor Anlage</t>
  </si>
  <si>
    <t>Eine Hausbreite links von Umgehungsstraße 30, zwei Hausbreiten links vom Kornspeicher</t>
  </si>
  <si>
    <t>Rechter Drittelungspunkt Giebel Kornspeicher</t>
  </si>
  <si>
    <t>Zum neuen Hieb Nr3 bis 17</t>
  </si>
  <si>
    <t>rechts Haus Umgehungsstr. 30 (rotes Dach)</t>
  </si>
  <si>
    <t>knapp 1 Hausbreite links vom Kornspeicher, linke Kante Temmlergebäude</t>
  </si>
  <si>
    <t>leicht rechts von Kante Haspelstraße 49</t>
  </si>
  <si>
    <t>Vorderkante vorderer der drei Schreyer-Bauten links vom Kopf der Konrad-adenauer-Brücke, eine Breite rechts von Mittelkonsole auf Herkules-Markt</t>
  </si>
  <si>
    <t>Mühlenberg Gipfel</t>
  </si>
  <si>
    <t>Heidekopf Gipfel</t>
  </si>
  <si>
    <t>Mühlenberg leicht südlich vom Gipfel</t>
  </si>
  <si>
    <t>Ostausläufer Mühlenberg zum Zuckerberg</t>
  </si>
  <si>
    <t>Mühlenberg nördlicher Gipfelbereich</t>
  </si>
  <si>
    <t>Reihenfolge von li nach re im Bild: 4, 5, 6, 1, 2, 3</t>
  </si>
  <si>
    <t>Bild #0918</t>
  </si>
  <si>
    <t>Martinsweiher Niederwalgern</t>
  </si>
  <si>
    <t>8°711-285</t>
  </si>
  <si>
    <t>50°729-991</t>
  </si>
  <si>
    <t xml:space="preserve">li Kante Bellevue bis re Kante Am Rothlauf 12 </t>
  </si>
  <si>
    <t>Exakt rechter Abschluß Baumkrone im Vordergrund vor Mißthaufen sowie vom fast linker Kante Rothlauf 12 derselbe Abstand nach rechts wie nach links zu linke Kante Rotdachhaus Am Rothlauf 5a</t>
  </si>
  <si>
    <t>First rechter Flügel Bellvue</t>
  </si>
  <si>
    <t>links von linker Doppeltanne am Eingang zum "Tiergarten"</t>
  </si>
  <si>
    <t>Rechte Kante "Am Rothlauf" 12</t>
  </si>
  <si>
    <t>exakt eine Breite links vom Bellevue</t>
  </si>
  <si>
    <t>Südflanke Rotlauf</t>
  </si>
  <si>
    <t>Buchshorn</t>
  </si>
  <si>
    <t>Buchshorn, Kante</t>
  </si>
  <si>
    <t>Reihenfolge von li nach re im Bild: 6, 3, 5, 2, 4, 1</t>
  </si>
  <si>
    <t>alternativ Bild #DSC 2135</t>
  </si>
  <si>
    <t>Breite Bezugsobjekt im Photo</t>
  </si>
  <si>
    <t>Breite Gesamtkomplex Hauptsr. 44 nach rechts davon = fast ende des Ausschnittes zwei Breiten der Traufseite Blechscheune Wenkbach nach links, rechte der beiden Friedhofsbaumreihen Wolfshausen</t>
  </si>
  <si>
    <t>Bild #0899</t>
  </si>
  <si>
    <t>Straße von Nieder- nach Oberweimar, Feldweg nach Süden, am Strommast</t>
  </si>
  <si>
    <t>8°714-948</t>
  </si>
  <si>
    <t>50°756-419</t>
  </si>
  <si>
    <t>Bild #0898</t>
  </si>
  <si>
    <t>Straße von Nieder- nach Oberweimar, paralleler Radweg, von der Stromleitung leicht richtung Niederweimar</t>
  </si>
  <si>
    <t>Mittig zw. Turm auf Gehöft in der Nordwestecke Argensteins und ersten Ochsenburghaus</t>
  </si>
  <si>
    <t>Südflanke Rotlauf, oben Windbruchfläche</t>
  </si>
  <si>
    <t>Strommast unmittelbar vor Autobahnbrücke über Lahn bis Strommast vor Ochsenburg</t>
  </si>
  <si>
    <t>fast linke Kante vorgelagertes Garagenschuppen, braunes Dach Ochesnburg</t>
  </si>
  <si>
    <t>dirkret rechts vom rechten Referenzstrommasten, vor alten B3, nord-nordwest Ochsenburg</t>
  </si>
  <si>
    <t>fast mittig zwischen Referenzmasten, leicht links</t>
  </si>
  <si>
    <t>unmittelbar links Nordgebäude Nehmühle, alternativ Ende der Tannenreihe Bahnhäuschen "auf dem Joch"</t>
  </si>
  <si>
    <t>Tannengruppe Bahnhäuschen zwischen letzter und vorletzter Tanne von rechts</t>
  </si>
  <si>
    <t>keine WEA im Bild, nur zur ergänzung #0898des Rundumblicks mit Hassenhäuser Anlagen</t>
  </si>
  <si>
    <t>südl. Gipfelplateau Rotlauf</t>
  </si>
  <si>
    <t>Rotlauf Gipfel</t>
  </si>
  <si>
    <t>nördl. Gipfelplateau Rotlauf</t>
  </si>
  <si>
    <t>Bild #DSC 2133</t>
  </si>
  <si>
    <t>50°739-518</t>
  </si>
  <si>
    <t>8°719-666</t>
  </si>
  <si>
    <t>Reihenfolge von li nach re im Bild: 6, 4, 5, 3, 2, 1</t>
  </si>
  <si>
    <t>Ende rechte Tannenreihe, Streifenparzell west-südwestlich Wenkbach</t>
  </si>
  <si>
    <t>Bellevue bis Am rotlauf 5</t>
  </si>
  <si>
    <t>Straße zw. Wenkbach und Roth, Ecke vom Fußballplatz</t>
  </si>
  <si>
    <t>Exakt linke Kante Bellevue</t>
  </si>
  <si>
    <t>Ende Tannenreihe bzw. durch rechtes Kronenviertel Weide im Vordergrund</t>
  </si>
  <si>
    <t>Einzelbaum in vorderer Tannenreihe und rechter Rand Halbmondstruktur auf linker zungenförmiger Brache an autobahnböschung</t>
  </si>
  <si>
    <t>rechter Rand der Lücke in vorderer Tannenreihe</t>
  </si>
  <si>
    <t>knapp recht von Anfang Randbäume an Autobahnparallelem Weg oberhalb an der Westflanke des Rotlauf</t>
  </si>
  <si>
    <t>Nordflanke Buchshorn</t>
  </si>
  <si>
    <t>Südflanke Rotlauf, Baumlücke</t>
  </si>
  <si>
    <t>Reihenfolge von li nach re im Bild: 6, 3, 5, 4, 2, 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</si>
</sst>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/>
    </xf>
    <xf numFmtId="1" fontId="0" fillId="0" borderId="5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5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7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9"/>
  <sheetViews>
    <sheetView tabSelected="1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3" sqref="L3"/>
    </sheetView>
  </sheetViews>
  <sheetFormatPr defaultColWidth="11.421875" defaultRowHeight="12.75"/>
  <cols>
    <col min="2" max="2" width="14.57421875" style="0" customWidth="1"/>
    <col min="3" max="3" width="17.8515625" style="0" customWidth="1"/>
    <col min="6" max="6" width="12.8515625" style="0" customWidth="1"/>
    <col min="8" max="8" width="13.421875" style="0" customWidth="1"/>
    <col min="10" max="10" width="12.00390625" style="0" customWidth="1"/>
  </cols>
  <sheetData>
    <row r="1" spans="1:11" ht="12.75">
      <c r="A1" t="s">
        <v>7</v>
      </c>
      <c r="D1" t="s">
        <v>31</v>
      </c>
      <c r="F1" t="s">
        <v>4</v>
      </c>
      <c r="G1">
        <f>166+68</f>
        <v>234</v>
      </c>
      <c r="H1" t="s">
        <v>5</v>
      </c>
      <c r="I1">
        <v>68</v>
      </c>
      <c r="J1" t="s">
        <v>11</v>
      </c>
      <c r="K1">
        <v>166</v>
      </c>
    </row>
    <row r="2" spans="4:15" ht="12.75">
      <c r="D2" t="s">
        <v>26</v>
      </c>
      <c r="E2" t="s">
        <v>0</v>
      </c>
      <c r="G2" t="s">
        <v>1</v>
      </c>
      <c r="I2" t="s">
        <v>2</v>
      </c>
      <c r="K2" t="s">
        <v>3</v>
      </c>
      <c r="M2" t="s">
        <v>32</v>
      </c>
      <c r="O2" t="s">
        <v>33</v>
      </c>
    </row>
    <row r="3" spans="1:15" ht="12.75">
      <c r="A3" t="s">
        <v>21</v>
      </c>
      <c r="C3" t="s">
        <v>22</v>
      </c>
      <c r="E3">
        <v>482907</v>
      </c>
      <c r="G3">
        <v>482864</v>
      </c>
      <c r="I3">
        <v>482757</v>
      </c>
      <c r="K3">
        <v>483809</v>
      </c>
      <c r="M3">
        <v>483291</v>
      </c>
      <c r="O3">
        <v>483088</v>
      </c>
    </row>
    <row r="4" spans="3:15" ht="12.75">
      <c r="C4" t="s">
        <v>23</v>
      </c>
      <c r="E4">
        <v>5620188</v>
      </c>
      <c r="G4">
        <v>5620572</v>
      </c>
      <c r="I4">
        <v>5620928</v>
      </c>
      <c r="K4">
        <v>5620633</v>
      </c>
      <c r="M4">
        <v>5620792</v>
      </c>
      <c r="O4">
        <v>5621127</v>
      </c>
    </row>
    <row r="5" spans="1:15" ht="12.75">
      <c r="A5" t="s">
        <v>16</v>
      </c>
      <c r="E5">
        <v>282</v>
      </c>
      <c r="G5">
        <v>266</v>
      </c>
      <c r="I5">
        <v>257</v>
      </c>
      <c r="K5">
        <v>245</v>
      </c>
      <c r="M5">
        <v>262</v>
      </c>
      <c r="O5">
        <v>265</v>
      </c>
    </row>
    <row r="6" spans="1:9" ht="12.75">
      <c r="A6" t="s">
        <v>39</v>
      </c>
      <c r="E6" t="s">
        <v>40</v>
      </c>
      <c r="G6" t="s">
        <v>44</v>
      </c>
      <c r="I6" t="s">
        <v>46</v>
      </c>
    </row>
    <row r="7" spans="1:11" ht="12.75">
      <c r="A7" t="s">
        <v>34</v>
      </c>
      <c r="E7">
        <f>17.4*56/109</f>
        <v>8.939449541284402</v>
      </c>
      <c r="G7">
        <f>20.8*56/109</f>
        <v>10.68623853211009</v>
      </c>
      <c r="I7">
        <f>21.3*56/109</f>
        <v>10.943119266055046</v>
      </c>
      <c r="K7">
        <f>17.7*56/109</f>
        <v>9.093577981651375</v>
      </c>
    </row>
    <row r="8" spans="1:5" ht="12.75">
      <c r="A8" t="s">
        <v>63</v>
      </c>
      <c r="E8">
        <f>AVERAGE(36,34.5,34.5)*166/68</f>
        <v>85.44117647058823</v>
      </c>
    </row>
    <row r="9" ht="13.5" thickBot="1">
      <c r="A9" t="s">
        <v>64</v>
      </c>
    </row>
    <row r="10" spans="1:16" ht="13.5" thickTop="1">
      <c r="A10" s="2"/>
      <c r="B10" s="3" t="s">
        <v>41</v>
      </c>
      <c r="C10" s="4"/>
      <c r="D10" s="4" t="s">
        <v>29</v>
      </c>
      <c r="E10" s="4">
        <v>481286</v>
      </c>
      <c r="F10" s="4" t="s">
        <v>30</v>
      </c>
      <c r="G10" s="4">
        <v>5632756</v>
      </c>
      <c r="H10" s="4"/>
      <c r="I10" s="4"/>
      <c r="J10" s="4"/>
      <c r="K10" s="4"/>
      <c r="L10" s="5"/>
      <c r="M10" s="29"/>
      <c r="N10" s="29"/>
      <c r="O10" s="29"/>
      <c r="P10" s="29"/>
    </row>
    <row r="11" spans="1:16" ht="55.5" customHeight="1">
      <c r="A11" s="6" t="s">
        <v>6</v>
      </c>
      <c r="B11" s="7"/>
      <c r="C11" s="7"/>
      <c r="D11" s="7"/>
      <c r="E11" s="31" t="s">
        <v>43</v>
      </c>
      <c r="F11" s="31"/>
      <c r="G11" s="31" t="s">
        <v>45</v>
      </c>
      <c r="H11" s="31"/>
      <c r="I11" s="31" t="s">
        <v>47</v>
      </c>
      <c r="J11" s="31"/>
      <c r="K11" s="31" t="s">
        <v>48</v>
      </c>
      <c r="L11" s="31"/>
      <c r="M11" s="31" t="s">
        <v>49</v>
      </c>
      <c r="N11" s="31"/>
      <c r="O11" s="7"/>
      <c r="P11" s="9"/>
    </row>
    <row r="12" spans="1:16" ht="12.7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9"/>
    </row>
    <row r="13" spans="1:16" ht="12.75">
      <c r="A13" s="6" t="s">
        <v>17</v>
      </c>
      <c r="B13" s="7"/>
      <c r="C13" s="7"/>
      <c r="D13" s="7"/>
      <c r="E13" s="7"/>
      <c r="F13" s="7">
        <v>3919</v>
      </c>
      <c r="G13" s="7"/>
      <c r="H13" s="7">
        <v>3556</v>
      </c>
      <c r="I13" s="7"/>
      <c r="J13" s="7">
        <v>3192</v>
      </c>
      <c r="K13" s="7"/>
      <c r="L13" s="7">
        <v>4001</v>
      </c>
      <c r="M13" s="7"/>
      <c r="N13" s="7">
        <v>3591</v>
      </c>
      <c r="O13" s="7"/>
      <c r="P13" s="9">
        <v>3183</v>
      </c>
    </row>
    <row r="14" spans="1:16" ht="12.75">
      <c r="A14" s="6" t="s">
        <v>18</v>
      </c>
      <c r="B14" s="7"/>
      <c r="C14" s="7"/>
      <c r="D14" s="7">
        <v>222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9"/>
    </row>
    <row r="15" spans="1:16" ht="36.75" customHeight="1">
      <c r="A15" s="6" t="s">
        <v>25</v>
      </c>
      <c r="B15" s="7"/>
      <c r="C15" s="7"/>
      <c r="D15" s="7"/>
      <c r="E15" s="31" t="s">
        <v>35</v>
      </c>
      <c r="F15" s="31"/>
      <c r="G15" s="31" t="s">
        <v>35</v>
      </c>
      <c r="H15" s="31"/>
      <c r="I15" s="31" t="s">
        <v>35</v>
      </c>
      <c r="J15" s="31"/>
      <c r="K15" s="31" t="s">
        <v>36</v>
      </c>
      <c r="L15" s="31"/>
      <c r="M15" s="7" t="s">
        <v>37</v>
      </c>
      <c r="N15" s="7"/>
      <c r="O15" s="31" t="s">
        <v>38</v>
      </c>
      <c r="P15" s="32"/>
    </row>
    <row r="16" spans="1:16" ht="14.25" customHeight="1">
      <c r="A16" s="6"/>
      <c r="B16" s="7"/>
      <c r="C16" s="7"/>
      <c r="D16" s="7"/>
      <c r="E16" s="8"/>
      <c r="F16" s="8"/>
      <c r="G16" s="10"/>
      <c r="H16" s="8"/>
      <c r="I16" s="10"/>
      <c r="J16" s="8"/>
      <c r="K16" s="8"/>
      <c r="L16" s="8"/>
      <c r="M16" s="7"/>
      <c r="N16" s="7"/>
      <c r="O16" s="7"/>
      <c r="P16" s="9"/>
    </row>
    <row r="17" spans="1:16" ht="12.75">
      <c r="A17" s="6"/>
      <c r="B17" s="7" t="s">
        <v>24</v>
      </c>
      <c r="C17" s="7"/>
      <c r="D17" s="7"/>
      <c r="E17" s="7"/>
      <c r="F17" s="7">
        <f>94*25</f>
        <v>2350</v>
      </c>
      <c r="G17" s="7"/>
      <c r="H17" s="7">
        <f>93*25</f>
        <v>2325</v>
      </c>
      <c r="I17" s="7"/>
      <c r="J17" s="7">
        <f>91*25</f>
        <v>2275</v>
      </c>
      <c r="K17" s="7"/>
      <c r="L17" s="7">
        <f>71*25</f>
        <v>1775</v>
      </c>
      <c r="M17" s="7"/>
      <c r="N17" s="7">
        <f>85*25</f>
        <v>2125</v>
      </c>
      <c r="O17" s="7"/>
      <c r="P17" s="9">
        <v>2125</v>
      </c>
    </row>
    <row r="18" spans="1:16" ht="12.75">
      <c r="A18" s="6" t="s">
        <v>19</v>
      </c>
      <c r="B18" s="7"/>
      <c r="C18" s="7"/>
      <c r="D18" s="7"/>
      <c r="E18" s="7"/>
      <c r="F18" s="7">
        <f>284+30</f>
        <v>314</v>
      </c>
      <c r="G18" s="7"/>
      <c r="H18" s="7">
        <f>281+30</f>
        <v>311</v>
      </c>
      <c r="I18" s="7"/>
      <c r="J18" s="7">
        <f>278+30</f>
        <v>308</v>
      </c>
      <c r="K18" s="7"/>
      <c r="L18" s="7">
        <f>240+30</f>
        <v>270</v>
      </c>
      <c r="M18" s="7"/>
      <c r="N18" s="7">
        <f>255+30</f>
        <v>285</v>
      </c>
      <c r="O18" s="7"/>
      <c r="P18" s="9">
        <v>285</v>
      </c>
    </row>
    <row r="19" spans="1:16" ht="12.75">
      <c r="A19" s="6" t="s">
        <v>27</v>
      </c>
      <c r="B19" s="7"/>
      <c r="C19" s="7"/>
      <c r="D19" s="7"/>
      <c r="E19" s="7"/>
      <c r="F19" s="11">
        <f>F13*(F18-$D14)/F17</f>
        <v>153.42468085106384</v>
      </c>
      <c r="G19" s="7"/>
      <c r="H19" s="11">
        <f>H13*(H18-$D14)/H17</f>
        <v>136.1221505376344</v>
      </c>
      <c r="I19" s="7"/>
      <c r="J19" s="11">
        <f>J13*(J18-$D14)/J17</f>
        <v>120.66461538461539</v>
      </c>
      <c r="K19" s="7"/>
      <c r="L19" s="11">
        <f>L13*(L18-$D14)/L17</f>
        <v>108.19605633802817</v>
      </c>
      <c r="M19" s="7"/>
      <c r="N19" s="11">
        <f>N13*(N18-$D14)/N17</f>
        <v>106.46258823529412</v>
      </c>
      <c r="O19" s="7"/>
      <c r="P19" s="12">
        <f>P13*(P18-$D14)/P17</f>
        <v>94.36658823529412</v>
      </c>
    </row>
    <row r="20" spans="1:16" ht="12.75">
      <c r="A20" s="6" t="s">
        <v>28</v>
      </c>
      <c r="B20" s="7"/>
      <c r="C20" s="7"/>
      <c r="D20" s="7"/>
      <c r="E20" s="7"/>
      <c r="F20" s="11">
        <f>F19+$D14-E$5</f>
        <v>93.42468085106384</v>
      </c>
      <c r="G20" s="7"/>
      <c r="H20" s="11">
        <f>H19+$D14-G$5</f>
        <v>92.12215053763441</v>
      </c>
      <c r="I20" s="7"/>
      <c r="J20" s="11">
        <f>J19+$D14-I$5</f>
        <v>85.66461538461539</v>
      </c>
      <c r="K20" s="7"/>
      <c r="L20" s="11">
        <f>L19+$D14-K$5</f>
        <v>85.19605633802814</v>
      </c>
      <c r="M20" s="7"/>
      <c r="N20" s="11">
        <f>N19+$D14-M$5</f>
        <v>66.4625882352941</v>
      </c>
      <c r="O20" s="7"/>
      <c r="P20" s="12">
        <f>P19+$D14-O$5</f>
        <v>51.3665882352941</v>
      </c>
    </row>
    <row r="21" spans="1:16" ht="12.75">
      <c r="A21" s="6" t="s">
        <v>8</v>
      </c>
      <c r="B21" s="7"/>
      <c r="C21" s="7"/>
      <c r="D21" s="7">
        <v>1448</v>
      </c>
      <c r="E21" s="7">
        <v>1448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9"/>
    </row>
    <row r="22" spans="1:16" ht="12.75">
      <c r="A22" s="6" t="s">
        <v>42</v>
      </c>
      <c r="B22" s="7"/>
      <c r="C22" s="7" t="s">
        <v>12</v>
      </c>
      <c r="D22" s="7">
        <v>234</v>
      </c>
      <c r="E22" s="7">
        <v>234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9"/>
    </row>
    <row r="23" spans="1:16" ht="12.75">
      <c r="A23" s="6" t="s">
        <v>50</v>
      </c>
      <c r="B23" s="7"/>
      <c r="C23" s="7" t="s">
        <v>13</v>
      </c>
      <c r="D23" s="7">
        <v>459</v>
      </c>
      <c r="E23" s="7">
        <v>459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9"/>
    </row>
    <row r="24" spans="1:16" ht="12.7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9"/>
    </row>
    <row r="25" spans="1:16" ht="12.75">
      <c r="A25" s="6" t="s">
        <v>9</v>
      </c>
      <c r="B25" s="7"/>
      <c r="C25" s="7" t="s">
        <v>20</v>
      </c>
      <c r="D25" s="7"/>
      <c r="E25" s="7"/>
      <c r="F25" s="13">
        <f>$K$1*$D21/($D22*F13)</f>
        <v>0.26211116999583445</v>
      </c>
      <c r="G25" s="13"/>
      <c r="H25" s="13">
        <f>$K$1*$D21/($D22*H13)</f>
        <v>0.2888677376866353</v>
      </c>
      <c r="I25" s="7"/>
      <c r="J25" s="13">
        <f>$K$1*$D21/($D22*J13)</f>
        <v>0.321808795493006</v>
      </c>
      <c r="K25" s="7"/>
      <c r="L25" s="13">
        <f>$K$1*$D21/($D22*L13)</f>
        <v>0.25673923399492005</v>
      </c>
      <c r="M25" s="7"/>
      <c r="N25" s="13">
        <f>$K$1*$D21/($D22*N13)</f>
        <v>0.2860522626604498</v>
      </c>
      <c r="O25" s="7"/>
      <c r="P25" s="14">
        <f>$K$1*$D21/($D22*P13)</f>
        <v>0.32271871668667146</v>
      </c>
    </row>
    <row r="26" spans="1:16" ht="12.75">
      <c r="A26" s="6" t="s">
        <v>10</v>
      </c>
      <c r="B26" s="7"/>
      <c r="C26" s="7"/>
      <c r="D26" s="7"/>
      <c r="E26" s="7"/>
      <c r="F26" s="13">
        <f>F20/$K$1</f>
        <v>0.5627992822353244</v>
      </c>
      <c r="G26" s="7"/>
      <c r="H26" s="13">
        <f>H20/$K$1</f>
        <v>0.554952714082135</v>
      </c>
      <c r="I26" s="7"/>
      <c r="J26" s="13">
        <f>J20/$K$1</f>
        <v>0.5160518999073216</v>
      </c>
      <c r="K26" s="7"/>
      <c r="L26" s="13">
        <f>L20/$K$1</f>
        <v>0.5132292550483623</v>
      </c>
      <c r="M26" s="7"/>
      <c r="N26" s="13">
        <f>N20/$K$1</f>
        <v>0.4003770375620127</v>
      </c>
      <c r="O26" s="7"/>
      <c r="P26" s="14">
        <f>P20/$K$1</f>
        <v>0.3094372785258681</v>
      </c>
    </row>
    <row r="27" spans="1:16" ht="12.75">
      <c r="A27" s="6"/>
      <c r="B27" s="7"/>
      <c r="C27" s="7"/>
      <c r="D27" s="7"/>
      <c r="E27" s="7"/>
      <c r="F27" s="13"/>
      <c r="G27" s="7"/>
      <c r="H27" s="13"/>
      <c r="I27" s="7"/>
      <c r="J27" s="13"/>
      <c r="K27" s="7"/>
      <c r="L27" s="13"/>
      <c r="M27" s="7"/>
      <c r="N27" s="13"/>
      <c r="O27" s="7"/>
      <c r="P27" s="14"/>
    </row>
    <row r="28" spans="1:16" ht="12.75">
      <c r="A28" s="6" t="s">
        <v>14</v>
      </c>
      <c r="B28" s="7"/>
      <c r="C28" s="7"/>
      <c r="D28" s="7"/>
      <c r="E28" s="7"/>
      <c r="F28" s="15">
        <f>F25*$D23</f>
        <v>120.30902702808801</v>
      </c>
      <c r="G28" s="7"/>
      <c r="H28" s="15">
        <f>H25*$D23</f>
        <v>132.5902915981656</v>
      </c>
      <c r="I28" s="7"/>
      <c r="J28" s="15">
        <f>J25*$D23</f>
        <v>147.71023713128974</v>
      </c>
      <c r="K28" s="7"/>
      <c r="L28" s="15">
        <f>L25*$D23</f>
        <v>117.8433084036683</v>
      </c>
      <c r="M28" s="7"/>
      <c r="N28" s="15">
        <f>N25*$D23</f>
        <v>131.29798856114647</v>
      </c>
      <c r="O28" s="7"/>
      <c r="P28" s="16">
        <f>P25*$D23</f>
        <v>148.1278909591822</v>
      </c>
    </row>
    <row r="29" spans="1:16" ht="13.5" thickBot="1">
      <c r="A29" s="17" t="s">
        <v>15</v>
      </c>
      <c r="B29" s="18"/>
      <c r="C29" s="18"/>
      <c r="D29" s="18"/>
      <c r="E29" s="18"/>
      <c r="F29" s="19">
        <f>(1-F26)*F28</f>
        <v>52.59919297024984</v>
      </c>
      <c r="G29" s="18"/>
      <c r="H29" s="19">
        <f>(1-H26)*H28</f>
        <v>59.008949414821906</v>
      </c>
      <c r="I29" s="18"/>
      <c r="J29" s="19">
        <f>(1-J26)*J28</f>
        <v>71.48408862392667</v>
      </c>
      <c r="K29" s="18"/>
      <c r="L29" s="19">
        <f>(1-L26)*L28</f>
        <v>57.36267501921921</v>
      </c>
      <c r="M29" s="18"/>
      <c r="N29" s="19">
        <f>(1-N26)*N28</f>
        <v>78.72928886318361</v>
      </c>
      <c r="O29" s="18"/>
      <c r="P29" s="20">
        <f>(1-P26)*P28</f>
        <v>102.29159950699632</v>
      </c>
    </row>
    <row r="30" ht="13.5" thickTop="1"/>
    <row r="31" spans="6:16" ht="13.5" thickBot="1"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 ht="13.5" thickTop="1">
      <c r="A32" s="2" t="s">
        <v>62</v>
      </c>
      <c r="B32" s="3" t="s">
        <v>51</v>
      </c>
      <c r="C32" s="4"/>
      <c r="D32" s="4" t="s">
        <v>29</v>
      </c>
      <c r="E32" s="4">
        <v>484991</v>
      </c>
      <c r="F32" s="4" t="s">
        <v>30</v>
      </c>
      <c r="G32" s="4">
        <v>5622725</v>
      </c>
      <c r="H32" s="4"/>
      <c r="I32" s="4"/>
      <c r="J32" s="4"/>
      <c r="K32" s="4"/>
      <c r="L32" s="5"/>
      <c r="M32" s="29" t="s">
        <v>53</v>
      </c>
      <c r="N32" s="29"/>
      <c r="O32" s="29"/>
      <c r="P32" s="29"/>
    </row>
    <row r="33" spans="1:16" ht="12.75">
      <c r="A33" s="6" t="s">
        <v>6</v>
      </c>
      <c r="B33" s="7"/>
      <c r="C33" s="7"/>
      <c r="D33" s="7"/>
      <c r="E33" s="31" t="s">
        <v>55</v>
      </c>
      <c r="F33" s="31"/>
      <c r="G33" s="31" t="s">
        <v>57</v>
      </c>
      <c r="H33" s="31"/>
      <c r="I33" s="31" t="s">
        <v>59</v>
      </c>
      <c r="J33" s="31"/>
      <c r="K33" s="31" t="s">
        <v>54</v>
      </c>
      <c r="L33" s="31"/>
      <c r="M33" s="31" t="s">
        <v>58</v>
      </c>
      <c r="N33" s="31"/>
      <c r="O33" s="7" t="s">
        <v>52</v>
      </c>
      <c r="P33" s="9"/>
    </row>
    <row r="34" spans="1:16" ht="12.75">
      <c r="A34" s="6"/>
      <c r="B34" s="7"/>
      <c r="C34" s="7"/>
      <c r="D34" s="7"/>
      <c r="E34" s="7" t="s">
        <v>56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9"/>
    </row>
    <row r="35" spans="1:16" ht="12.75">
      <c r="A35" s="6" t="s">
        <v>17</v>
      </c>
      <c r="B35" s="7"/>
      <c r="C35" s="7"/>
      <c r="D35" s="7"/>
      <c r="E35" s="7"/>
      <c r="F35" s="7">
        <v>3294</v>
      </c>
      <c r="G35" s="7"/>
      <c r="H35" s="7">
        <v>3041</v>
      </c>
      <c r="I35" s="7"/>
      <c r="J35" s="7">
        <v>2886</v>
      </c>
      <c r="K35" s="7"/>
      <c r="L35" s="7">
        <v>2420</v>
      </c>
      <c r="M35" s="7"/>
      <c r="N35" s="7">
        <v>2592</v>
      </c>
      <c r="O35" s="7"/>
      <c r="P35" s="9">
        <v>2506</v>
      </c>
    </row>
    <row r="36" spans="1:16" ht="12.75">
      <c r="A36" s="6" t="s">
        <v>18</v>
      </c>
      <c r="B36" s="7"/>
      <c r="C36" s="7"/>
      <c r="D36" s="7">
        <v>370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9"/>
    </row>
    <row r="37" spans="1:16" ht="12.75">
      <c r="A37" s="6" t="s">
        <v>25</v>
      </c>
      <c r="B37" s="7"/>
      <c r="C37" s="7"/>
      <c r="D37" s="7"/>
      <c r="E37" s="31" t="s">
        <v>69</v>
      </c>
      <c r="F37" s="31"/>
      <c r="G37" s="31"/>
      <c r="H37" s="31"/>
      <c r="I37" s="31"/>
      <c r="J37" s="31"/>
      <c r="K37" s="31"/>
      <c r="L37" s="31"/>
      <c r="M37" s="7"/>
      <c r="N37" s="7"/>
      <c r="O37" s="31"/>
      <c r="P37" s="32"/>
    </row>
    <row r="38" spans="1:16" ht="12.75">
      <c r="A38" s="6"/>
      <c r="B38" s="7"/>
      <c r="C38" s="7"/>
      <c r="D38" s="7"/>
      <c r="E38" s="8"/>
      <c r="F38" s="8"/>
      <c r="G38" s="10"/>
      <c r="H38" s="8"/>
      <c r="I38" s="10"/>
      <c r="J38" s="8"/>
      <c r="K38" s="8"/>
      <c r="L38" s="8"/>
      <c r="M38" s="7"/>
      <c r="N38" s="7"/>
      <c r="O38" s="7"/>
      <c r="P38" s="9"/>
    </row>
    <row r="39" spans="1:16" ht="12.75">
      <c r="A39" s="6"/>
      <c r="B39" s="7" t="s">
        <v>24</v>
      </c>
      <c r="C39" s="7"/>
      <c r="D39" s="7"/>
      <c r="E39" s="7"/>
      <c r="F39" s="7">
        <f>25*130</f>
        <v>3250</v>
      </c>
      <c r="G39" s="7"/>
      <c r="H39" s="7">
        <v>3000</v>
      </c>
      <c r="I39" s="7"/>
      <c r="J39" s="7">
        <f>96*25</f>
        <v>2400</v>
      </c>
      <c r="K39" s="7"/>
      <c r="L39" s="7">
        <v>2400</v>
      </c>
      <c r="M39" s="7"/>
      <c r="N39" s="7">
        <f>96*25</f>
        <v>2400</v>
      </c>
      <c r="O39" s="7"/>
      <c r="P39" s="9">
        <v>2475</v>
      </c>
    </row>
    <row r="40" spans="1:16" ht="12.75">
      <c r="A40" s="6" t="s">
        <v>19</v>
      </c>
      <c r="B40" s="7"/>
      <c r="C40" s="7"/>
      <c r="D40" s="7"/>
      <c r="E40" s="7"/>
      <c r="F40" s="7">
        <f>280+30</f>
        <v>310</v>
      </c>
      <c r="G40" s="7"/>
      <c r="H40" s="7">
        <f>260+30</f>
        <v>290</v>
      </c>
      <c r="I40" s="7"/>
      <c r="J40" s="7">
        <f>265+30</f>
        <v>295</v>
      </c>
      <c r="K40" s="7"/>
      <c r="L40" s="7">
        <f>240+25</f>
        <v>265</v>
      </c>
      <c r="M40" s="7"/>
      <c r="N40" s="7">
        <f>260+30</f>
        <v>290</v>
      </c>
      <c r="O40" s="7"/>
      <c r="P40" s="9">
        <f>260+30</f>
        <v>290</v>
      </c>
    </row>
    <row r="41" spans="1:16" ht="12.75">
      <c r="A41" s="6" t="s">
        <v>27</v>
      </c>
      <c r="B41" s="7"/>
      <c r="C41" s="7"/>
      <c r="D41" s="7"/>
      <c r="E41" s="7"/>
      <c r="F41" s="11">
        <f>F35*(F40-$D36)/F39</f>
        <v>-60.81230769230769</v>
      </c>
      <c r="G41" s="7"/>
      <c r="H41" s="11">
        <f>H35*(H40-$D36)/H39</f>
        <v>-81.09333333333333</v>
      </c>
      <c r="I41" s="7"/>
      <c r="J41" s="11">
        <f>J35*(J40-$D36)/J39</f>
        <v>-90.1875</v>
      </c>
      <c r="K41" s="7"/>
      <c r="L41" s="11">
        <f>L35*(L40-$D36)/L39</f>
        <v>-105.875</v>
      </c>
      <c r="M41" s="7"/>
      <c r="N41" s="11">
        <f>N35*(N40-$D36)/N39</f>
        <v>-86.4</v>
      </c>
      <c r="O41" s="7"/>
      <c r="P41" s="12">
        <f>P35*(P40-$D36)/P39</f>
        <v>-81.0020202020202</v>
      </c>
    </row>
    <row r="42" spans="1:16" ht="12.75">
      <c r="A42" s="6" t="s">
        <v>28</v>
      </c>
      <c r="B42" s="7"/>
      <c r="C42" s="7"/>
      <c r="D42" s="7"/>
      <c r="E42" s="7"/>
      <c r="F42" s="11">
        <f>F41+$D36-E$5</f>
        <v>27.187692307692316</v>
      </c>
      <c r="G42" s="7"/>
      <c r="H42" s="11">
        <f>H41+$D36-G$5</f>
        <v>22.906666666666638</v>
      </c>
      <c r="I42" s="7"/>
      <c r="J42" s="11">
        <f>J41+$D36-I$5</f>
        <v>22.8125</v>
      </c>
      <c r="K42" s="7"/>
      <c r="L42" s="11">
        <f>L41+$D36-K$5</f>
        <v>19.125</v>
      </c>
      <c r="M42" s="7"/>
      <c r="N42" s="11">
        <f>N41+$D36-M$5</f>
        <v>21.600000000000023</v>
      </c>
      <c r="O42" s="7"/>
      <c r="P42" s="12">
        <f>P41+$D36-O$5</f>
        <v>23.99797979797978</v>
      </c>
    </row>
    <row r="43" spans="1:16" ht="12.75">
      <c r="A43" s="6" t="s">
        <v>8</v>
      </c>
      <c r="B43" s="7"/>
      <c r="C43" s="7"/>
      <c r="D43" s="7">
        <v>18700</v>
      </c>
      <c r="E43" s="7">
        <v>2100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9"/>
    </row>
    <row r="44" spans="1:16" ht="12.75">
      <c r="A44" s="6" t="s">
        <v>60</v>
      </c>
      <c r="B44" s="7"/>
      <c r="C44" s="7" t="s">
        <v>12</v>
      </c>
      <c r="D44" s="7">
        <v>5528</v>
      </c>
      <c r="E44" s="7">
        <v>242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9"/>
    </row>
    <row r="45" spans="1:16" ht="12.75">
      <c r="A45" s="6" t="s">
        <v>61</v>
      </c>
      <c r="B45" s="7"/>
      <c r="C45" s="7" t="s">
        <v>13</v>
      </c>
      <c r="D45" s="7">
        <v>953.7</v>
      </c>
      <c r="E45" s="7">
        <v>373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9"/>
    </row>
    <row r="46" spans="2:16" ht="12.7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9"/>
    </row>
    <row r="47" spans="1:16" ht="12.75">
      <c r="A47" s="6" t="s">
        <v>9</v>
      </c>
      <c r="B47" s="7"/>
      <c r="C47" s="7" t="s">
        <v>20</v>
      </c>
      <c r="D47" s="7"/>
      <c r="E47" s="7"/>
      <c r="F47" s="13">
        <f>$K$1*$D43/($D44*F35)</f>
        <v>0.17047396617276336</v>
      </c>
      <c r="G47" s="13"/>
      <c r="H47" s="13">
        <f>$K$1*$D43/($D44*H35)</f>
        <v>0.18465677230288802</v>
      </c>
      <c r="I47" s="7"/>
      <c r="J47" s="13">
        <f>$K$1*$D43/($D44*J35)</f>
        <v>0.1945742358188089</v>
      </c>
      <c r="K47" s="7"/>
      <c r="L47" s="13">
        <f>$K$1*$D43/($D44*L35)</f>
        <v>0.2320418366004473</v>
      </c>
      <c r="M47" s="7"/>
      <c r="N47" s="13">
        <f>$K$1*$D43/($D44*N35)</f>
        <v>0.21664399867788675</v>
      </c>
      <c r="O47" s="7"/>
      <c r="P47" s="14">
        <f>$K$1*$D43/($D44*P35)</f>
        <v>0.22407870892780626</v>
      </c>
    </row>
    <row r="48" spans="1:16" ht="12.75">
      <c r="A48" s="6" t="s">
        <v>10</v>
      </c>
      <c r="B48" s="7"/>
      <c r="C48" s="7"/>
      <c r="D48" s="7"/>
      <c r="E48" s="7"/>
      <c r="F48" s="13">
        <f>F42/$K$1</f>
        <v>0.1637812789620019</v>
      </c>
      <c r="G48" s="7"/>
      <c r="H48" s="13">
        <f>H42/$K$1</f>
        <v>0.13799196787148577</v>
      </c>
      <c r="I48" s="7"/>
      <c r="J48" s="13">
        <f>J42/$K$1</f>
        <v>0.1374246987951807</v>
      </c>
      <c r="K48" s="7"/>
      <c r="L48" s="13">
        <f>L42/$K$1</f>
        <v>0.11521084337349398</v>
      </c>
      <c r="M48" s="7"/>
      <c r="N48" s="13">
        <f>N42/$K$1</f>
        <v>0.13012048192771097</v>
      </c>
      <c r="O48" s="7"/>
      <c r="P48" s="14">
        <f>P42/$K$1</f>
        <v>0.14456614336132398</v>
      </c>
    </row>
    <row r="49" spans="1:16" ht="12.75">
      <c r="A49" s="6"/>
      <c r="B49" s="7"/>
      <c r="C49" s="7"/>
      <c r="D49" s="7"/>
      <c r="E49" s="7"/>
      <c r="F49" s="13"/>
      <c r="G49" s="7"/>
      <c r="H49" s="13"/>
      <c r="I49" s="7"/>
      <c r="J49" s="13"/>
      <c r="K49" s="7"/>
      <c r="L49" s="13"/>
      <c r="M49" s="7"/>
      <c r="N49" s="13"/>
      <c r="O49" s="7"/>
      <c r="P49" s="14"/>
    </row>
    <row r="50" spans="1:16" ht="12.75">
      <c r="A50" s="6" t="s">
        <v>14</v>
      </c>
      <c r="B50" s="7"/>
      <c r="C50" s="7"/>
      <c r="D50" s="7"/>
      <c r="E50" s="7"/>
      <c r="F50" s="15">
        <f>F47*$D45</f>
        <v>162.58102153896442</v>
      </c>
      <c r="G50" s="7"/>
      <c r="H50" s="15">
        <f>H47*$D45</f>
        <v>176.1071637452643</v>
      </c>
      <c r="I50" s="7"/>
      <c r="J50" s="15">
        <f>J47*$D45</f>
        <v>185.56544870039806</v>
      </c>
      <c r="K50" s="7"/>
      <c r="L50" s="15">
        <f>L47*$D45</f>
        <v>221.2982995658466</v>
      </c>
      <c r="M50" s="7"/>
      <c r="N50" s="15">
        <f>N47*$D45</f>
        <v>206.6133815391006</v>
      </c>
      <c r="O50" s="7"/>
      <c r="P50" s="16">
        <f>P47*$D45</f>
        <v>213.70386470444885</v>
      </c>
    </row>
    <row r="51" spans="1:16" ht="13.5" thickBot="1">
      <c r="A51" s="17" t="s">
        <v>15</v>
      </c>
      <c r="B51" s="18"/>
      <c r="C51" s="18"/>
      <c r="D51" s="18"/>
      <c r="E51" s="18"/>
      <c r="F51" s="19">
        <f>(1-F48)*F50</f>
        <v>135.95329389636404</v>
      </c>
      <c r="G51" s="18"/>
      <c r="H51" s="19">
        <f>(1-H48)*H50</f>
        <v>151.80578966378928</v>
      </c>
      <c r="I51" s="18"/>
      <c r="J51" s="19">
        <f>(1-J48)*J50</f>
        <v>160.0641728059533</v>
      </c>
      <c r="K51" s="18"/>
      <c r="L51" s="19">
        <f>(1-L48)*L50</f>
        <v>195.8023358357453</v>
      </c>
      <c r="M51" s="18"/>
      <c r="N51" s="19">
        <f>(1-N48)*N50</f>
        <v>179.7287487605188</v>
      </c>
      <c r="O51" s="18"/>
      <c r="P51" s="20">
        <f>(1-P48)*P50</f>
        <v>182.8095211627165</v>
      </c>
    </row>
    <row r="52" spans="1:12" ht="13.5" thickTop="1">
      <c r="A52" s="21"/>
      <c r="B52" s="21"/>
      <c r="C52" s="21"/>
      <c r="D52" s="21"/>
      <c r="E52" s="21"/>
      <c r="F52" s="26"/>
      <c r="G52" s="21"/>
      <c r="H52" s="26"/>
      <c r="I52" s="21"/>
      <c r="J52" s="26"/>
      <c r="K52" s="21"/>
      <c r="L52" s="26"/>
    </row>
    <row r="53" spans="1:16" ht="13.5" thickBot="1">
      <c r="A53" s="21"/>
      <c r="B53" s="21"/>
      <c r="C53" s="21"/>
      <c r="D53" s="21"/>
      <c r="E53" s="21"/>
      <c r="F53" s="25"/>
      <c r="G53" s="25"/>
      <c r="H53" s="25"/>
      <c r="I53" s="25"/>
      <c r="J53" s="25"/>
      <c r="K53" s="25"/>
      <c r="L53" s="25"/>
      <c r="M53" s="30"/>
      <c r="N53" s="30"/>
      <c r="O53" s="30"/>
      <c r="P53" s="30"/>
    </row>
    <row r="54" spans="1:16" ht="13.5" thickTop="1">
      <c r="A54" s="2" t="s">
        <v>65</v>
      </c>
      <c r="B54" s="3" t="s">
        <v>66</v>
      </c>
      <c r="C54" s="4"/>
      <c r="D54" s="4" t="s">
        <v>29</v>
      </c>
      <c r="E54" s="4">
        <v>483553</v>
      </c>
      <c r="F54" s="4" t="s">
        <v>30</v>
      </c>
      <c r="G54" s="4">
        <v>5628606</v>
      </c>
      <c r="H54" s="4"/>
      <c r="I54" s="4" t="s">
        <v>29</v>
      </c>
      <c r="J54" s="4" t="s">
        <v>68</v>
      </c>
      <c r="K54" s="4" t="s">
        <v>30</v>
      </c>
      <c r="L54" s="4" t="s">
        <v>67</v>
      </c>
      <c r="M54" s="29" t="s">
        <v>82</v>
      </c>
      <c r="N54" s="29"/>
      <c r="O54" s="29"/>
      <c r="P54" s="29"/>
    </row>
    <row r="55" spans="1:16" ht="12.75">
      <c r="A55" s="6" t="s">
        <v>6</v>
      </c>
      <c r="B55" s="7"/>
      <c r="C55" s="7"/>
      <c r="D55" s="7"/>
      <c r="E55" s="31" t="s">
        <v>73</v>
      </c>
      <c r="F55" s="31"/>
      <c r="G55" s="31" t="s">
        <v>74</v>
      </c>
      <c r="H55" s="31"/>
      <c r="I55" s="31" t="s">
        <v>71</v>
      </c>
      <c r="J55" s="31"/>
      <c r="K55" s="31" t="s">
        <v>75</v>
      </c>
      <c r="L55" s="31"/>
      <c r="M55" s="31" t="s">
        <v>76</v>
      </c>
      <c r="N55" s="31"/>
      <c r="O55" s="7" t="s">
        <v>70</v>
      </c>
      <c r="P55" s="9"/>
    </row>
    <row r="56" spans="1:16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9"/>
    </row>
    <row r="57" spans="1:16" ht="12.75">
      <c r="A57" s="6" t="s">
        <v>17</v>
      </c>
      <c r="B57" s="7"/>
      <c r="C57" s="7"/>
      <c r="D57" s="7"/>
      <c r="E57" s="7"/>
      <c r="F57" s="7">
        <v>8447</v>
      </c>
      <c r="G57" s="7"/>
      <c r="H57" s="7">
        <v>8073</v>
      </c>
      <c r="I57" s="7"/>
      <c r="J57" s="7">
        <v>7733</v>
      </c>
      <c r="K57" s="7"/>
      <c r="L57" s="7">
        <v>7980</v>
      </c>
      <c r="M57" s="7"/>
      <c r="N57" s="7">
        <v>7838</v>
      </c>
      <c r="O57" s="7"/>
      <c r="P57" s="9">
        <v>7504</v>
      </c>
    </row>
    <row r="58" spans="1:16" ht="12.75">
      <c r="A58" s="6" t="s">
        <v>18</v>
      </c>
      <c r="B58" s="7"/>
      <c r="C58" s="7"/>
      <c r="D58" s="7">
        <v>231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/>
    </row>
    <row r="59" spans="1:16" ht="12.75">
      <c r="A59" s="6" t="s">
        <v>25</v>
      </c>
      <c r="B59" s="7"/>
      <c r="C59" s="7"/>
      <c r="D59" s="7"/>
      <c r="E59" s="31" t="s">
        <v>77</v>
      </c>
      <c r="F59" s="31"/>
      <c r="G59" s="31" t="s">
        <v>79</v>
      </c>
      <c r="H59" s="31"/>
      <c r="I59" s="31" t="s">
        <v>79</v>
      </c>
      <c r="J59" s="31"/>
      <c r="K59" s="31" t="s">
        <v>78</v>
      </c>
      <c r="L59" s="31"/>
      <c r="M59" s="7" t="s">
        <v>80</v>
      </c>
      <c r="N59" s="7"/>
      <c r="O59" s="31" t="s">
        <v>81</v>
      </c>
      <c r="P59" s="32"/>
    </row>
    <row r="60" spans="1:16" ht="12.75">
      <c r="A60" s="6"/>
      <c r="B60" s="7"/>
      <c r="C60" s="7"/>
      <c r="D60" s="7"/>
      <c r="E60" s="8"/>
      <c r="F60" s="8"/>
      <c r="G60" s="10"/>
      <c r="H60" s="8"/>
      <c r="I60" s="10"/>
      <c r="J60" s="8"/>
      <c r="K60" s="8"/>
      <c r="L60" s="8"/>
      <c r="M60" s="7"/>
      <c r="N60" s="7"/>
      <c r="O60" s="7"/>
      <c r="P60" s="9"/>
    </row>
    <row r="61" spans="1:16" ht="12.75">
      <c r="A61" s="6"/>
      <c r="B61" s="7" t="s">
        <v>24</v>
      </c>
      <c r="C61" s="7"/>
      <c r="D61" s="7"/>
      <c r="E61" s="7"/>
      <c r="F61" s="7">
        <f>199*25</f>
        <v>4975</v>
      </c>
      <c r="G61" s="7"/>
      <c r="H61" s="7">
        <f>200*25</f>
        <v>5000</v>
      </c>
      <c r="I61" s="7"/>
      <c r="J61" s="7">
        <f>204*25</f>
        <v>5100</v>
      </c>
      <c r="K61" s="7"/>
      <c r="L61" s="7">
        <f>221*25</f>
        <v>5525</v>
      </c>
      <c r="M61" s="7"/>
      <c r="N61" s="7">
        <f>194*25</f>
        <v>4850</v>
      </c>
      <c r="O61" s="7"/>
      <c r="P61" s="9">
        <f>197*25</f>
        <v>4925</v>
      </c>
    </row>
    <row r="62" spans="1:16" ht="12.75">
      <c r="A62" s="6" t="s">
        <v>19</v>
      </c>
      <c r="B62" s="7"/>
      <c r="C62" s="7"/>
      <c r="D62" s="7"/>
      <c r="E62" s="7"/>
      <c r="F62" s="7">
        <f>254.4+25</f>
        <v>279.4</v>
      </c>
      <c r="G62" s="7"/>
      <c r="H62" s="7">
        <f>253+30</f>
        <v>283</v>
      </c>
      <c r="I62" s="7"/>
      <c r="J62" s="7">
        <f>252+30</f>
        <v>282</v>
      </c>
      <c r="K62" s="7"/>
      <c r="L62" s="7">
        <f>285.1+30</f>
        <v>315.1</v>
      </c>
      <c r="M62" s="7"/>
      <c r="N62" s="7">
        <f>248+30</f>
        <v>278</v>
      </c>
      <c r="O62" s="7"/>
      <c r="P62" s="9">
        <f>252+30</f>
        <v>282</v>
      </c>
    </row>
    <row r="63" spans="1:16" ht="12.75">
      <c r="A63" s="6" t="s">
        <v>27</v>
      </c>
      <c r="B63" s="7"/>
      <c r="C63" s="7"/>
      <c r="D63" s="7"/>
      <c r="E63" s="7"/>
      <c r="F63" s="11">
        <f>F57*(F62-$D58)/F61</f>
        <v>82.17784924623112</v>
      </c>
      <c r="G63" s="7"/>
      <c r="H63" s="11">
        <f>H57*(H62-$D58)/H61</f>
        <v>83.9592</v>
      </c>
      <c r="I63" s="7"/>
      <c r="J63" s="11">
        <f>J57*(J62-$D58)/J61</f>
        <v>77.33</v>
      </c>
      <c r="K63" s="7"/>
      <c r="L63" s="11">
        <f>L57*(L62-$D58)/L61</f>
        <v>121.46932126696836</v>
      </c>
      <c r="M63" s="7"/>
      <c r="N63" s="11">
        <f>N57*(N62-$D58)/N61</f>
        <v>75.9558762886598</v>
      </c>
      <c r="O63" s="7"/>
      <c r="P63" s="12">
        <f>P57*(P62-$D58)/P61</f>
        <v>77.70639593908629</v>
      </c>
    </row>
    <row r="64" spans="1:16" ht="12.75">
      <c r="A64" s="6" t="s">
        <v>28</v>
      </c>
      <c r="B64" s="7"/>
      <c r="C64" s="7"/>
      <c r="D64" s="7"/>
      <c r="E64" s="7"/>
      <c r="F64" s="11">
        <f>F63+$D58-E$5</f>
        <v>31.17784924623112</v>
      </c>
      <c r="G64" s="7"/>
      <c r="H64" s="11">
        <f>H63+$D58-G$5</f>
        <v>48.95920000000001</v>
      </c>
      <c r="I64" s="7"/>
      <c r="J64" s="11">
        <f>J63+$D58-I$5</f>
        <v>51.329999999999984</v>
      </c>
      <c r="K64" s="7"/>
      <c r="L64" s="11">
        <f>L63+$D58-K$5</f>
        <v>107.46932126696834</v>
      </c>
      <c r="M64" s="7"/>
      <c r="N64" s="11">
        <f>N63+$D58-M$5</f>
        <v>44.955876288659795</v>
      </c>
      <c r="O64" s="7"/>
      <c r="P64" s="12">
        <f>P63+$D58-O$5</f>
        <v>43.70639593908629</v>
      </c>
    </row>
    <row r="65" spans="1:16" ht="12.75">
      <c r="A65" s="6" t="s">
        <v>8</v>
      </c>
      <c r="B65" s="7"/>
      <c r="C65" s="7"/>
      <c r="D65" s="7">
        <v>4146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9"/>
    </row>
    <row r="66" spans="1:16" ht="12.75">
      <c r="A66" s="6" t="s">
        <v>72</v>
      </c>
      <c r="B66" s="7"/>
      <c r="C66" s="7" t="s">
        <v>12</v>
      </c>
      <c r="D66" s="7">
        <v>117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9"/>
    </row>
    <row r="67" spans="1:16" ht="12.75">
      <c r="A67" s="6"/>
      <c r="B67" s="7"/>
      <c r="C67" s="7" t="s">
        <v>13</v>
      </c>
      <c r="D67" s="7">
        <v>76.5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9"/>
    </row>
    <row r="68" spans="2:16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9"/>
    </row>
    <row r="69" spans="1:16" ht="12.75">
      <c r="A69" s="6" t="s">
        <v>9</v>
      </c>
      <c r="B69" s="7"/>
      <c r="C69" s="7" t="s">
        <v>20</v>
      </c>
      <c r="D69" s="7"/>
      <c r="E69" s="7"/>
      <c r="F69" s="13">
        <f>$K$1*$D65/($D66*F57)</f>
        <v>0.6963843937917573</v>
      </c>
      <c r="G69" s="13"/>
      <c r="H69" s="13">
        <f>$K$1*$D65/($D66*H57)</f>
        <v>0.7286459772524433</v>
      </c>
      <c r="I69" s="7"/>
      <c r="J69" s="13">
        <f>$K$1*$D65/($D66*J57)</f>
        <v>0.7606826554194975</v>
      </c>
      <c r="K69" s="7"/>
      <c r="L69" s="13">
        <f>$K$1*$D65/($D66*L57)</f>
        <v>0.7371377160850845</v>
      </c>
      <c r="M69" s="7"/>
      <c r="N69" s="13">
        <f>$K$1*$D65/($D66*N57)</f>
        <v>0.7504923417145923</v>
      </c>
      <c r="O69" s="7"/>
      <c r="P69" s="14">
        <f>$K$1*$D65/($D66*P57)</f>
        <v>0.7838964518068996</v>
      </c>
    </row>
    <row r="70" spans="1:16" ht="12.75">
      <c r="A70" s="6" t="s">
        <v>10</v>
      </c>
      <c r="B70" s="7"/>
      <c r="C70" s="7"/>
      <c r="D70" s="7"/>
      <c r="E70" s="7"/>
      <c r="F70" s="13">
        <f>F64/$K$1</f>
        <v>0.1878183689531995</v>
      </c>
      <c r="G70" s="7"/>
      <c r="H70" s="13">
        <f>H64/$K$1</f>
        <v>0.29493493975903623</v>
      </c>
      <c r="I70" s="7"/>
      <c r="J70" s="13">
        <f>J64/$K$1</f>
        <v>0.3092168674698794</v>
      </c>
      <c r="K70" s="7"/>
      <c r="L70" s="13">
        <f>L64/$K$1</f>
        <v>0.6474055498010141</v>
      </c>
      <c r="M70" s="7"/>
      <c r="N70" s="13">
        <f>N64/$K$1</f>
        <v>0.27081853185939636</v>
      </c>
      <c r="O70" s="7"/>
      <c r="P70" s="14">
        <f>P64/$K$1</f>
        <v>0.26329154180172465</v>
      </c>
    </row>
    <row r="71" spans="1:16" ht="12.75">
      <c r="A71" s="6"/>
      <c r="B71" s="7"/>
      <c r="C71" s="7"/>
      <c r="D71" s="7"/>
      <c r="E71" s="7"/>
      <c r="F71" s="13"/>
      <c r="G71" s="7"/>
      <c r="H71" s="13"/>
      <c r="I71" s="7"/>
      <c r="J71" s="13"/>
      <c r="K71" s="7"/>
      <c r="L71" s="13"/>
      <c r="M71" s="7"/>
      <c r="N71" s="13"/>
      <c r="O71" s="7"/>
      <c r="P71" s="14"/>
    </row>
    <row r="72" spans="1:16" ht="12.75">
      <c r="A72" s="6" t="s">
        <v>14</v>
      </c>
      <c r="B72" s="7"/>
      <c r="C72" s="7"/>
      <c r="D72" s="7"/>
      <c r="E72" s="7"/>
      <c r="F72" s="15">
        <f>F69*$D67</f>
        <v>53.273406125069435</v>
      </c>
      <c r="G72" s="7"/>
      <c r="H72" s="15">
        <f>H69*$D67</f>
        <v>55.74141725981191</v>
      </c>
      <c r="I72" s="7"/>
      <c r="J72" s="15">
        <f>J69*$D67</f>
        <v>58.19222313959156</v>
      </c>
      <c r="K72" s="7"/>
      <c r="L72" s="15">
        <f>L69*$D67</f>
        <v>56.391035280508966</v>
      </c>
      <c r="M72" s="7"/>
      <c r="N72" s="15">
        <f>N69*$D67</f>
        <v>57.41266414116632</v>
      </c>
      <c r="O72" s="7"/>
      <c r="P72" s="16">
        <f>P69*$D67</f>
        <v>59.96807856322782</v>
      </c>
    </row>
    <row r="73" spans="1:16" ht="13.5" thickBot="1">
      <c r="A73" s="17" t="s">
        <v>15</v>
      </c>
      <c r="B73" s="18"/>
      <c r="C73" s="18"/>
      <c r="D73" s="18"/>
      <c r="E73" s="18"/>
      <c r="F73" s="19">
        <f>(1-F70)*F72</f>
        <v>43.26768187807751</v>
      </c>
      <c r="G73" s="18"/>
      <c r="H73" s="19">
        <f>(1-H70)*H72</f>
        <v>39.30132571820599</v>
      </c>
      <c r="I73" s="18"/>
      <c r="J73" s="19">
        <f>(1-J70)*J72</f>
        <v>40.198206189258826</v>
      </c>
      <c r="K73" s="18"/>
      <c r="L73" s="19">
        <f>(1-L70)*L72</f>
        <v>19.883166080882678</v>
      </c>
      <c r="M73" s="18"/>
      <c r="N73" s="19">
        <f>(1-N70)*N72</f>
        <v>41.86425072831905</v>
      </c>
      <c r="O73" s="18"/>
      <c r="P73" s="20">
        <f>(1-P70)*P72</f>
        <v>44.17899069942862</v>
      </c>
    </row>
    <row r="74" spans="1:12" ht="13.5" thickTop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</row>
    <row r="75" spans="1:12" ht="13.5" thickBo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</row>
    <row r="76" spans="1:16" ht="13.5" thickTop="1">
      <c r="A76" s="2" t="s">
        <v>83</v>
      </c>
      <c r="B76" s="3" t="s">
        <v>84</v>
      </c>
      <c r="C76" s="4"/>
      <c r="D76" s="4" t="s">
        <v>29</v>
      </c>
      <c r="E76" s="4">
        <v>479624</v>
      </c>
      <c r="F76" s="4" t="s">
        <v>30</v>
      </c>
      <c r="G76" s="4">
        <v>5619839</v>
      </c>
      <c r="H76" s="4"/>
      <c r="I76" s="4" t="s">
        <v>29</v>
      </c>
      <c r="J76" s="4" t="s">
        <v>85</v>
      </c>
      <c r="K76" s="4" t="s">
        <v>30</v>
      </c>
      <c r="L76" s="4" t="s">
        <v>86</v>
      </c>
      <c r="M76" s="29" t="s">
        <v>96</v>
      </c>
      <c r="N76" s="29"/>
      <c r="O76" s="29"/>
      <c r="P76" s="29"/>
    </row>
    <row r="77" spans="1:16" ht="12.75">
      <c r="A77" s="6" t="s">
        <v>6</v>
      </c>
      <c r="B77" s="7"/>
      <c r="C77" s="7"/>
      <c r="D77" s="7"/>
      <c r="E77" s="31" t="s">
        <v>99</v>
      </c>
      <c r="F77" s="31"/>
      <c r="G77" s="31" t="s">
        <v>88</v>
      </c>
      <c r="H77" s="31"/>
      <c r="I77" s="31" t="s">
        <v>89</v>
      </c>
      <c r="J77" s="31"/>
      <c r="K77" s="31" t="s">
        <v>90</v>
      </c>
      <c r="L77" s="31"/>
      <c r="M77" s="31" t="s">
        <v>91</v>
      </c>
      <c r="N77" s="31"/>
      <c r="O77" s="7" t="s">
        <v>92</v>
      </c>
      <c r="P77" s="9"/>
    </row>
    <row r="78" spans="1:16" ht="12.75">
      <c r="A78" s="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9"/>
    </row>
    <row r="79" spans="1:16" ht="12.75">
      <c r="A79" s="6" t="s">
        <v>17</v>
      </c>
      <c r="B79" s="7"/>
      <c r="C79" s="7"/>
      <c r="D79" s="7"/>
      <c r="E79" s="7"/>
      <c r="F79" s="7">
        <v>3287</v>
      </c>
      <c r="G79" s="7"/>
      <c r="H79" s="7">
        <v>3309</v>
      </c>
      <c r="I79" s="7"/>
      <c r="J79" s="7">
        <v>3297</v>
      </c>
      <c r="K79" s="7"/>
      <c r="L79" s="7">
        <v>4231</v>
      </c>
      <c r="M79" s="7"/>
      <c r="N79" s="7">
        <v>3780</v>
      </c>
      <c r="O79" s="7"/>
      <c r="P79" s="9">
        <v>3673</v>
      </c>
    </row>
    <row r="80" spans="1:16" ht="12.75">
      <c r="A80" s="6" t="s">
        <v>18</v>
      </c>
      <c r="B80" s="7"/>
      <c r="C80" s="7"/>
      <c r="D80" s="7">
        <v>170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9"/>
    </row>
    <row r="81" spans="1:16" ht="12.75">
      <c r="A81" s="6" t="s">
        <v>25</v>
      </c>
      <c r="B81" s="7"/>
      <c r="C81" s="7"/>
      <c r="D81" s="7"/>
      <c r="E81" s="31" t="s">
        <v>95</v>
      </c>
      <c r="F81" s="31"/>
      <c r="G81" s="31" t="s">
        <v>94</v>
      </c>
      <c r="H81" s="31"/>
      <c r="I81" s="31" t="s">
        <v>93</v>
      </c>
      <c r="J81" s="32"/>
      <c r="K81" s="31" t="s">
        <v>94</v>
      </c>
      <c r="L81" s="31"/>
      <c r="M81" s="31" t="s">
        <v>94</v>
      </c>
      <c r="N81" s="31"/>
      <c r="O81" s="31" t="s">
        <v>93</v>
      </c>
      <c r="P81" s="32"/>
    </row>
    <row r="82" spans="1:16" ht="12.75">
      <c r="A82" s="6"/>
      <c r="B82" s="7"/>
      <c r="C82" s="7"/>
      <c r="D82" s="7"/>
      <c r="E82" s="8"/>
      <c r="F82" s="8"/>
      <c r="G82" s="10"/>
      <c r="H82" s="8"/>
      <c r="I82" s="10"/>
      <c r="J82" s="8"/>
      <c r="K82" s="8"/>
      <c r="L82" s="8"/>
      <c r="M82" s="7"/>
      <c r="N82" s="7"/>
      <c r="O82" s="7"/>
      <c r="P82" s="9"/>
    </row>
    <row r="83" spans="1:16" ht="12.75">
      <c r="A83" s="6"/>
      <c r="B83" s="7" t="s">
        <v>24</v>
      </c>
      <c r="C83" s="7"/>
      <c r="D83" s="7"/>
      <c r="E83" s="7"/>
      <c r="F83" s="7">
        <f>125*25</f>
        <v>3125</v>
      </c>
      <c r="G83" s="7"/>
      <c r="H83" s="7">
        <f>122*25</f>
        <v>3050</v>
      </c>
      <c r="I83" s="7"/>
      <c r="J83" s="7">
        <f>92*25</f>
        <v>2300</v>
      </c>
      <c r="K83" s="7"/>
      <c r="L83" s="7">
        <f>124*25</f>
        <v>3100</v>
      </c>
      <c r="M83" s="7"/>
      <c r="N83" s="7">
        <f>125*25</f>
        <v>3125</v>
      </c>
      <c r="O83" s="7"/>
      <c r="P83" s="9">
        <f>94*25</f>
        <v>2350</v>
      </c>
    </row>
    <row r="84" spans="1:16" ht="12.75">
      <c r="A84" s="6" t="s">
        <v>19</v>
      </c>
      <c r="B84" s="7"/>
      <c r="C84" s="7"/>
      <c r="D84" s="7"/>
      <c r="E84" s="7"/>
      <c r="F84" s="7">
        <f>280+30</f>
        <v>310</v>
      </c>
      <c r="G84" s="7"/>
      <c r="H84" s="7">
        <f>268+30</f>
        <v>298</v>
      </c>
      <c r="I84" s="7"/>
      <c r="J84" s="7">
        <f>242+30</f>
        <v>272</v>
      </c>
      <c r="K84" s="7"/>
      <c r="L84" s="7">
        <f>274+30</f>
        <v>304</v>
      </c>
      <c r="M84" s="7"/>
      <c r="N84" s="7">
        <f>264+30</f>
        <v>294</v>
      </c>
      <c r="O84" s="7"/>
      <c r="P84" s="9">
        <f>252+30</f>
        <v>282</v>
      </c>
    </row>
    <row r="85" spans="1:16" ht="12.75">
      <c r="A85" s="6" t="s">
        <v>27</v>
      </c>
      <c r="B85" s="7"/>
      <c r="C85" s="7"/>
      <c r="D85" s="7"/>
      <c r="E85" s="7"/>
      <c r="F85" s="11">
        <f>F79*(F84-$D80)/F83</f>
        <v>147.2576</v>
      </c>
      <c r="G85" s="7"/>
      <c r="H85" s="11">
        <f>H79*(H84-$D80)/H83</f>
        <v>138.8695081967213</v>
      </c>
      <c r="I85" s="7"/>
      <c r="J85" s="11">
        <f>J79*(J84-$D80)/J83</f>
        <v>146.21478260869566</v>
      </c>
      <c r="K85" s="7"/>
      <c r="L85" s="11">
        <f>L79*(L84-$D80)/L83</f>
        <v>182.88838709677418</v>
      </c>
      <c r="M85" s="7"/>
      <c r="N85" s="11">
        <f>N79*(N84-$D80)/N83</f>
        <v>149.9904</v>
      </c>
      <c r="O85" s="7"/>
      <c r="P85" s="12">
        <f>P79*(P84-$D80)/P83</f>
        <v>175.0536170212766</v>
      </c>
    </row>
    <row r="86" spans="1:16" ht="12.75">
      <c r="A86" s="6" t="s">
        <v>28</v>
      </c>
      <c r="B86" s="7"/>
      <c r="C86" s="7"/>
      <c r="D86" s="7"/>
      <c r="E86" s="7"/>
      <c r="F86" s="11">
        <f>F85+$D80-E$5</f>
        <v>35.257600000000025</v>
      </c>
      <c r="G86" s="7"/>
      <c r="H86" s="11">
        <f>H85+$D80-G$5</f>
        <v>42.86950819672131</v>
      </c>
      <c r="I86" s="7"/>
      <c r="J86" s="11">
        <f>J85+$D80-I$5</f>
        <v>59.21478260869566</v>
      </c>
      <c r="K86" s="7"/>
      <c r="L86" s="11">
        <f>L85+$D80-K$5</f>
        <v>107.88838709677418</v>
      </c>
      <c r="M86" s="7"/>
      <c r="N86" s="11">
        <f>N85+$D80-M$5</f>
        <v>57.99040000000002</v>
      </c>
      <c r="O86" s="7"/>
      <c r="P86" s="12">
        <f>P85+$D80-O$5</f>
        <v>80.05361702127664</v>
      </c>
    </row>
    <row r="87" spans="1:16" ht="12.75">
      <c r="A87" s="6" t="s">
        <v>8</v>
      </c>
      <c r="B87" s="7"/>
      <c r="C87" s="7"/>
      <c r="D87" s="7">
        <v>2062</v>
      </c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9"/>
    </row>
    <row r="88" spans="1:16" ht="12.75">
      <c r="A88" s="6" t="s">
        <v>87</v>
      </c>
      <c r="B88" s="7"/>
      <c r="C88" s="7" t="s">
        <v>12</v>
      </c>
      <c r="D88" s="7">
        <v>193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9"/>
    </row>
    <row r="89" spans="1:16" ht="12.75">
      <c r="A89" s="6"/>
      <c r="B89" s="7"/>
      <c r="C89" s="7" t="s">
        <v>13</v>
      </c>
      <c r="D89" s="7">
        <v>259.8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9"/>
    </row>
    <row r="90" spans="2:16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9"/>
    </row>
    <row r="91" spans="1:16" ht="12.75">
      <c r="A91" s="6" t="s">
        <v>9</v>
      </c>
      <c r="B91" s="7"/>
      <c r="C91" s="7" t="s">
        <v>20</v>
      </c>
      <c r="D91" s="7"/>
      <c r="E91" s="7"/>
      <c r="F91" s="13">
        <f>$K$1*$D87/($D88*F79)</f>
        <v>0.5395599874525332</v>
      </c>
      <c r="G91" s="13"/>
      <c r="H91" s="13">
        <f>$K$1*$D87/($D88*H79)</f>
        <v>0.5359727043688355</v>
      </c>
      <c r="I91" s="7"/>
      <c r="J91" s="13">
        <f>$K$1*$D87/($D88*J79)</f>
        <v>0.5379234694438814</v>
      </c>
      <c r="K91" s="7"/>
      <c r="L91" s="13">
        <f>$K$1*$D87/($D88*L79)</f>
        <v>0.4191760053785102</v>
      </c>
      <c r="M91" s="7"/>
      <c r="N91" s="13">
        <f>$K$1*$D87/($D88*N79)</f>
        <v>0.46918880390382983</v>
      </c>
      <c r="O91" s="7"/>
      <c r="P91" s="14">
        <f>$K$1*$D87/($D88*P79)</f>
        <v>0.48285697760862417</v>
      </c>
    </row>
    <row r="92" spans="1:16" ht="12.75">
      <c r="A92" s="6" t="s">
        <v>10</v>
      </c>
      <c r="B92" s="7"/>
      <c r="C92" s="7"/>
      <c r="D92" s="7"/>
      <c r="E92" s="7"/>
      <c r="F92" s="13">
        <f>F86/$K$1</f>
        <v>0.2123951807228917</v>
      </c>
      <c r="G92" s="7"/>
      <c r="H92" s="13">
        <f>H86/$K$1</f>
        <v>0.25825004937783924</v>
      </c>
      <c r="I92" s="7"/>
      <c r="J92" s="13">
        <f>J86/$K$1</f>
        <v>0.3567155578837088</v>
      </c>
      <c r="K92" s="7"/>
      <c r="L92" s="13">
        <f>L86/$K$1</f>
        <v>0.6499300427516517</v>
      </c>
      <c r="M92" s="7"/>
      <c r="N92" s="13">
        <f>N86/$K$1</f>
        <v>0.3493397590361447</v>
      </c>
      <c r="O92" s="7"/>
      <c r="P92" s="14">
        <f>P86/$K$1</f>
        <v>0.4822507049474496</v>
      </c>
    </row>
    <row r="93" spans="1:16" ht="12.75">
      <c r="A93" s="6"/>
      <c r="B93" s="7"/>
      <c r="C93" s="7"/>
      <c r="D93" s="7"/>
      <c r="E93" s="7"/>
      <c r="F93" s="13"/>
      <c r="G93" s="7"/>
      <c r="H93" s="13"/>
      <c r="I93" s="7"/>
      <c r="J93" s="13"/>
      <c r="K93" s="7"/>
      <c r="L93" s="13"/>
      <c r="M93" s="7"/>
      <c r="N93" s="13"/>
      <c r="O93" s="7"/>
      <c r="P93" s="14"/>
    </row>
    <row r="94" spans="1:16" ht="12.75">
      <c r="A94" s="6" t="s">
        <v>14</v>
      </c>
      <c r="B94" s="7"/>
      <c r="C94" s="7"/>
      <c r="D94" s="7"/>
      <c r="E94" s="7"/>
      <c r="F94" s="15">
        <f>F91*$D89</f>
        <v>140.17768474016813</v>
      </c>
      <c r="G94" s="7"/>
      <c r="H94" s="15">
        <f>H91*$D89</f>
        <v>139.24570859502347</v>
      </c>
      <c r="I94" s="7"/>
      <c r="J94" s="15">
        <f>J91*$D89</f>
        <v>139.75251736152038</v>
      </c>
      <c r="K94" s="7"/>
      <c r="L94" s="15">
        <f>L91*$D89</f>
        <v>108.90192619733695</v>
      </c>
      <c r="M94" s="7"/>
      <c r="N94" s="15">
        <f>N91*$D89</f>
        <v>121.895251254215</v>
      </c>
      <c r="O94" s="7"/>
      <c r="P94" s="16">
        <f>P91*$D89</f>
        <v>125.44624278272056</v>
      </c>
    </row>
    <row r="95" spans="1:16" ht="13.5" thickBot="1">
      <c r="A95" s="17" t="s">
        <v>15</v>
      </c>
      <c r="B95" s="18"/>
      <c r="C95" s="18"/>
      <c r="D95" s="18"/>
      <c r="E95" s="18"/>
      <c r="F95" s="19">
        <f>(1-F92)*F94</f>
        <v>110.40462005646359</v>
      </c>
      <c r="G95" s="18"/>
      <c r="H95" s="19">
        <f>(1-H92)*H94</f>
        <v>103.28549747470645</v>
      </c>
      <c r="I95" s="18"/>
      <c r="J95" s="19">
        <f>(1-J92)*J94</f>
        <v>89.90062016525293</v>
      </c>
      <c r="K95" s="18"/>
      <c r="L95" s="19">
        <f>(1-L92)*L94</f>
        <v>38.12329264816453</v>
      </c>
      <c r="M95" s="18"/>
      <c r="N95" s="19">
        <f>(1-N92)*N94</f>
        <v>79.31239355341722</v>
      </c>
      <c r="O95" s="18"/>
      <c r="P95" s="20">
        <f>(1-P92)*P94</f>
        <v>64.94970376774467</v>
      </c>
    </row>
    <row r="96" spans="1:12" ht="13.5" thickTop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2.7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2.75">
      <c r="A98" s="21" t="s">
        <v>97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2.75">
      <c r="A99" s="21" t="s">
        <v>98</v>
      </c>
      <c r="B99" s="21"/>
      <c r="C99" s="21"/>
      <c r="D99" s="21">
        <v>127.1</v>
      </c>
      <c r="E99" s="21"/>
      <c r="F99" s="21"/>
      <c r="G99" s="21"/>
      <c r="H99" s="21"/>
      <c r="I99" s="21"/>
      <c r="J99" s="21"/>
      <c r="K99" s="21"/>
      <c r="L99" s="21"/>
    </row>
    <row r="100" spans="1:16" ht="12.75">
      <c r="A100" s="6" t="s">
        <v>14</v>
      </c>
      <c r="B100" s="7"/>
      <c r="C100" s="7"/>
      <c r="D100" s="7"/>
      <c r="E100" s="7"/>
      <c r="F100" s="15">
        <f>F91*$D99</f>
        <v>68.57807440521697</v>
      </c>
      <c r="G100" s="7"/>
      <c r="H100" s="15">
        <f>H91*$D99</f>
        <v>68.12213072527899</v>
      </c>
      <c r="I100" s="7"/>
      <c r="J100" s="15">
        <f>J91*$D99</f>
        <v>68.37007296631732</v>
      </c>
      <c r="K100" s="7"/>
      <c r="L100" s="15">
        <f>L91*$D99</f>
        <v>53.277270283608644</v>
      </c>
      <c r="M100" s="7"/>
      <c r="N100" s="15">
        <f>N91*$D99</f>
        <v>59.63389697617677</v>
      </c>
      <c r="O100" s="7"/>
      <c r="P100" s="15">
        <f>P91*$D99</f>
        <v>61.37112185405613</v>
      </c>
    </row>
    <row r="101" spans="1:16" ht="13.5" thickBot="1">
      <c r="A101" s="17" t="s">
        <v>15</v>
      </c>
      <c r="B101" s="18"/>
      <c r="C101" s="18"/>
      <c r="D101" s="18"/>
      <c r="E101" s="18"/>
      <c r="F101" s="19">
        <f>(1-F92)*F100</f>
        <v>54.012421898293</v>
      </c>
      <c r="G101" s="18"/>
      <c r="H101" s="19">
        <f>(1-H92)*H100</f>
        <v>50.52958710175207</v>
      </c>
      <c r="I101" s="18"/>
      <c r="J101" s="19">
        <f>(1-J92)*J100</f>
        <v>43.98140424558756</v>
      </c>
      <c r="K101" s="18"/>
      <c r="L101" s="19">
        <f>(1-L92)*L100</f>
        <v>18.650771730491577</v>
      </c>
      <c r="M101" s="18"/>
      <c r="N101" s="19">
        <f>(1-N92)*N100</f>
        <v>38.8014057761329</v>
      </c>
      <c r="O101" s="18"/>
      <c r="P101" s="19">
        <f>(1-P92)*P100</f>
        <v>31.77485507652173</v>
      </c>
    </row>
    <row r="102" spans="1:12" ht="13.5" thickTop="1">
      <c r="A102" s="21"/>
      <c r="B102" s="21"/>
      <c r="C102" s="21"/>
      <c r="D102" s="21"/>
      <c r="E102" s="21"/>
      <c r="F102" s="24"/>
      <c r="G102" s="21"/>
      <c r="H102" s="24"/>
      <c r="I102" s="21"/>
      <c r="J102" s="24"/>
      <c r="K102" s="21"/>
      <c r="L102" s="24"/>
    </row>
    <row r="103" spans="1:12" ht="13.5" thickBot="1">
      <c r="A103" s="21"/>
      <c r="B103" s="21"/>
      <c r="C103" s="21"/>
      <c r="D103" s="21"/>
      <c r="E103" s="21"/>
      <c r="F103" s="24"/>
      <c r="G103" s="21"/>
      <c r="H103" s="24"/>
      <c r="I103" s="21"/>
      <c r="J103" s="24"/>
      <c r="K103" s="21"/>
      <c r="L103" s="24"/>
    </row>
    <row r="104" spans="1:16" ht="13.5" thickTop="1">
      <c r="A104" s="2" t="s">
        <v>100</v>
      </c>
      <c r="B104" s="3" t="s">
        <v>101</v>
      </c>
      <c r="C104" s="4"/>
      <c r="D104" s="4" t="s">
        <v>29</v>
      </c>
      <c r="E104" s="4">
        <v>479893</v>
      </c>
      <c r="F104" s="4" t="s">
        <v>30</v>
      </c>
      <c r="G104" s="4">
        <v>5622777</v>
      </c>
      <c r="H104" s="4"/>
      <c r="I104" s="4" t="s">
        <v>29</v>
      </c>
      <c r="J104" s="4" t="s">
        <v>102</v>
      </c>
      <c r="K104" s="4" t="s">
        <v>30</v>
      </c>
      <c r="L104" s="4" t="s">
        <v>103</v>
      </c>
      <c r="M104" s="29"/>
      <c r="N104" s="29"/>
      <c r="O104" s="29"/>
      <c r="P104" s="29"/>
    </row>
    <row r="105" spans="1:16" ht="12.75">
      <c r="A105" s="6" t="s">
        <v>114</v>
      </c>
      <c r="B105" s="7"/>
      <c r="C105" s="7"/>
      <c r="D105" s="7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7"/>
      <c r="P105" s="9"/>
    </row>
    <row r="106" spans="1:16" ht="12.75">
      <c r="A106" s="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9"/>
    </row>
    <row r="107" spans="1:12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 spans="1:12" ht="13.5" thickBo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 spans="1:16" ht="13.5" thickTop="1">
      <c r="A109" s="2" t="s">
        <v>104</v>
      </c>
      <c r="B109" s="3" t="s">
        <v>105</v>
      </c>
      <c r="C109" s="4"/>
      <c r="D109" s="4" t="s">
        <v>29</v>
      </c>
      <c r="E109" s="4">
        <v>479921</v>
      </c>
      <c r="F109" s="4" t="s">
        <v>30</v>
      </c>
      <c r="G109" s="4">
        <v>5622832</v>
      </c>
      <c r="H109" s="4"/>
      <c r="I109" s="4" t="s">
        <v>29</v>
      </c>
      <c r="J109" s="4"/>
      <c r="K109" s="4" t="s">
        <v>30</v>
      </c>
      <c r="L109" s="4"/>
      <c r="M109" s="29" t="s">
        <v>121</v>
      </c>
      <c r="N109" s="29"/>
      <c r="O109" s="29"/>
      <c r="P109" s="29"/>
    </row>
    <row r="110" spans="1:16" ht="12.75">
      <c r="A110" s="6" t="s">
        <v>6</v>
      </c>
      <c r="B110" s="7"/>
      <c r="C110" s="7"/>
      <c r="D110" s="7"/>
      <c r="E110" s="31" t="s">
        <v>106</v>
      </c>
      <c r="F110" s="31"/>
      <c r="G110" s="31" t="s">
        <v>109</v>
      </c>
      <c r="H110" s="31"/>
      <c r="I110" s="31" t="s">
        <v>110</v>
      </c>
      <c r="J110" s="31"/>
      <c r="K110" s="31" t="s">
        <v>112</v>
      </c>
      <c r="L110" s="31"/>
      <c r="M110" s="31" t="s">
        <v>113</v>
      </c>
      <c r="N110" s="31"/>
      <c r="O110" s="7" t="s">
        <v>111</v>
      </c>
      <c r="P110" s="9"/>
    </row>
    <row r="111" spans="1:16" ht="12.7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9"/>
    </row>
    <row r="112" spans="1:16" ht="12.75">
      <c r="A112" s="6" t="s">
        <v>17</v>
      </c>
      <c r="B112" s="7"/>
      <c r="C112" s="7"/>
      <c r="D112" s="7"/>
      <c r="E112" s="7"/>
      <c r="F112" s="7">
        <v>3981</v>
      </c>
      <c r="G112" s="7"/>
      <c r="H112" s="7">
        <v>3707</v>
      </c>
      <c r="I112" s="7"/>
      <c r="J112" s="7">
        <v>3409</v>
      </c>
      <c r="K112" s="7"/>
      <c r="L112" s="7">
        <v>4444</v>
      </c>
      <c r="M112" s="7"/>
      <c r="N112" s="7">
        <v>3946</v>
      </c>
      <c r="O112" s="7"/>
      <c r="P112" s="9">
        <v>3582</v>
      </c>
    </row>
    <row r="113" spans="1:16" ht="12.75">
      <c r="A113" s="6" t="s">
        <v>18</v>
      </c>
      <c r="B113" s="7"/>
      <c r="C113" s="7"/>
      <c r="D113" s="7">
        <v>205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9"/>
    </row>
    <row r="114" spans="1:16" ht="12.75">
      <c r="A114" s="6" t="s">
        <v>25</v>
      </c>
      <c r="B114" s="7"/>
      <c r="C114" s="7"/>
      <c r="D114" s="7"/>
      <c r="E114" s="31" t="s">
        <v>107</v>
      </c>
      <c r="F114" s="31"/>
      <c r="G114" s="31" t="s">
        <v>115</v>
      </c>
      <c r="H114" s="31"/>
      <c r="I114" s="31" t="s">
        <v>116</v>
      </c>
      <c r="J114" s="32"/>
      <c r="K114" s="31" t="s">
        <v>117</v>
      </c>
      <c r="L114" s="31"/>
      <c r="M114" s="31" t="s">
        <v>117</v>
      </c>
      <c r="N114" s="31"/>
      <c r="O114" s="31" t="s">
        <v>117</v>
      </c>
      <c r="P114" s="31"/>
    </row>
    <row r="115" spans="1:16" ht="12.75">
      <c r="A115" s="6"/>
      <c r="B115" s="7"/>
      <c r="C115" s="7"/>
      <c r="D115" s="7"/>
      <c r="E115" s="8"/>
      <c r="F115" s="8"/>
      <c r="G115" s="10"/>
      <c r="H115" s="8"/>
      <c r="I115" s="10"/>
      <c r="J115" s="8"/>
      <c r="K115" s="8"/>
      <c r="L115" s="8"/>
      <c r="M115" s="7"/>
      <c r="N115" s="7"/>
      <c r="O115" s="7"/>
      <c r="P115" s="9"/>
    </row>
    <row r="116" spans="1:16" ht="12.75">
      <c r="A116" s="6"/>
      <c r="B116" s="7" t="s">
        <v>24</v>
      </c>
      <c r="C116" s="7"/>
      <c r="D116" s="7"/>
      <c r="E116" s="7"/>
      <c r="F116" s="7">
        <f>109*25</f>
        <v>2725</v>
      </c>
      <c r="G116" s="7"/>
      <c r="H116" s="7">
        <f>109*25</f>
        <v>2725</v>
      </c>
      <c r="I116" s="7"/>
      <c r="J116" s="7">
        <f>109*25</f>
        <v>2725</v>
      </c>
      <c r="K116" s="7"/>
      <c r="L116" s="7">
        <f>104*25</f>
        <v>2600</v>
      </c>
      <c r="M116" s="7"/>
      <c r="N116" s="7">
        <f>107*25</f>
        <v>2675</v>
      </c>
      <c r="O116" s="7"/>
      <c r="P116" s="9">
        <f>104*25</f>
        <v>2600</v>
      </c>
    </row>
    <row r="117" spans="1:16" ht="12.75">
      <c r="A117" s="6" t="s">
        <v>19</v>
      </c>
      <c r="B117" s="7"/>
      <c r="C117" s="7"/>
      <c r="D117" s="7"/>
      <c r="E117" s="7"/>
      <c r="F117" s="7">
        <f>272+15</f>
        <v>287</v>
      </c>
      <c r="G117" s="7"/>
      <c r="H117" s="7">
        <f>281+30</f>
        <v>311</v>
      </c>
      <c r="I117" s="7"/>
      <c r="J117" s="7">
        <f>287+30</f>
        <v>317</v>
      </c>
      <c r="K117" s="7"/>
      <c r="L117" s="7">
        <f>286+30</f>
        <v>316</v>
      </c>
      <c r="M117" s="7"/>
      <c r="N117" s="7">
        <f>286+30</f>
        <v>316</v>
      </c>
      <c r="O117" s="7"/>
      <c r="P117" s="9">
        <f>285+30</f>
        <v>315</v>
      </c>
    </row>
    <row r="118" spans="1:16" ht="12.75">
      <c r="A118" s="6" t="s">
        <v>27</v>
      </c>
      <c r="B118" s="7"/>
      <c r="C118" s="7"/>
      <c r="D118" s="7"/>
      <c r="E118" s="7"/>
      <c r="F118" s="11">
        <f>F112*(F117-$D113)/F116</f>
        <v>119.79522935779816</v>
      </c>
      <c r="G118" s="7"/>
      <c r="H118" s="11">
        <f>H112*(H117-$D113)/H116</f>
        <v>144.1988990825688</v>
      </c>
      <c r="I118" s="7"/>
      <c r="J118" s="11">
        <f>J112*(J117-$D113)/J116</f>
        <v>140.11302752293577</v>
      </c>
      <c r="K118" s="7"/>
      <c r="L118" s="11">
        <f>L112*(L117-$D113)/L116</f>
        <v>189.7246153846154</v>
      </c>
      <c r="M118" s="7"/>
      <c r="N118" s="11">
        <f>N112*(N117-$D113)/N116</f>
        <v>163.74056074766355</v>
      </c>
      <c r="O118" s="7"/>
      <c r="P118" s="12">
        <f>P112*(P117-$D113)/P116</f>
        <v>151.54615384615386</v>
      </c>
    </row>
    <row r="119" spans="1:16" ht="12.75">
      <c r="A119" s="6" t="s">
        <v>28</v>
      </c>
      <c r="B119" s="7"/>
      <c r="C119" s="7"/>
      <c r="D119" s="7"/>
      <c r="E119" s="7"/>
      <c r="F119" s="11">
        <f>F118+$D113-E$5</f>
        <v>42.79522935779818</v>
      </c>
      <c r="G119" s="7"/>
      <c r="H119" s="11">
        <f>H118+$D113-G$5</f>
        <v>83.1988990825688</v>
      </c>
      <c r="I119" s="7"/>
      <c r="J119" s="11">
        <f>J118+$D113-I$5</f>
        <v>88.1130275229358</v>
      </c>
      <c r="K119" s="7"/>
      <c r="L119" s="11">
        <f>L118+$D113-K$5</f>
        <v>149.7246153846154</v>
      </c>
      <c r="M119" s="7"/>
      <c r="N119" s="11">
        <f>N118+$D113-M$5</f>
        <v>106.74056074766355</v>
      </c>
      <c r="O119" s="7"/>
      <c r="P119" s="12">
        <f>P118+$D113-O$5</f>
        <v>91.54615384615386</v>
      </c>
    </row>
    <row r="120" spans="1:16" ht="12.75">
      <c r="A120" s="6" t="s">
        <v>8</v>
      </c>
      <c r="B120" s="7"/>
      <c r="C120" s="7"/>
      <c r="D120" s="7">
        <v>1803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9"/>
    </row>
    <row r="121" spans="1:16" ht="12.75">
      <c r="A121" s="6" t="s">
        <v>108</v>
      </c>
      <c r="B121" s="7"/>
      <c r="C121" s="7" t="s">
        <v>12</v>
      </c>
      <c r="D121" s="7">
        <v>322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9"/>
    </row>
    <row r="122" spans="1:16" ht="12.75">
      <c r="A122" s="6"/>
      <c r="B122" s="7"/>
      <c r="C122" s="7" t="s">
        <v>13</v>
      </c>
      <c r="D122" s="7">
        <v>415</v>
      </c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9"/>
    </row>
    <row r="123" spans="2:16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9"/>
    </row>
    <row r="124" spans="1:16" ht="12.75">
      <c r="A124" s="6" t="s">
        <v>9</v>
      </c>
      <c r="B124" s="7"/>
      <c r="C124" s="7" t="s">
        <v>20</v>
      </c>
      <c r="D124" s="7"/>
      <c r="E124" s="7"/>
      <c r="F124" s="13">
        <f>$K$1*$D120/($D121*F112)</f>
        <v>0.23348326913085604</v>
      </c>
      <c r="G124" s="13"/>
      <c r="H124" s="13">
        <f>$K$1*$D120/($D121*H112)</f>
        <v>0.2507410019989042</v>
      </c>
      <c r="I124" s="7"/>
      <c r="J124" s="13">
        <f>$K$1*$D120/($D121*J112)</f>
        <v>0.27265969328540274</v>
      </c>
      <c r="K124" s="7"/>
      <c r="L124" s="13">
        <f>$K$1*$D120/($D121*L112)</f>
        <v>0.20915771701393743</v>
      </c>
      <c r="M124" s="7"/>
      <c r="N124" s="13">
        <f>$K$1*$D120/($D121*N112)</f>
        <v>0.23555420537504762</v>
      </c>
      <c r="O124" s="7"/>
      <c r="P124" s="14">
        <f>$K$1*$D120/($D121*P112)</f>
        <v>0.25949103696536513</v>
      </c>
    </row>
    <row r="125" spans="1:16" ht="12.75">
      <c r="A125" s="6" t="s">
        <v>10</v>
      </c>
      <c r="B125" s="7"/>
      <c r="C125" s="7"/>
      <c r="D125" s="7"/>
      <c r="E125" s="7"/>
      <c r="F125" s="13">
        <f>F119/$K$1</f>
        <v>0.2578025864927601</v>
      </c>
      <c r="G125" s="7"/>
      <c r="H125" s="13">
        <f>H119/$K$1</f>
        <v>0.5011981872443904</v>
      </c>
      <c r="I125" s="7"/>
      <c r="J125" s="13">
        <f>J119/$K$1</f>
        <v>0.5308013706200951</v>
      </c>
      <c r="K125" s="7"/>
      <c r="L125" s="13">
        <f>L119/$K$1</f>
        <v>0.901955514365153</v>
      </c>
      <c r="M125" s="7"/>
      <c r="N125" s="13">
        <f>N119/$K$1</f>
        <v>0.6430154261907443</v>
      </c>
      <c r="O125" s="7"/>
      <c r="P125" s="14">
        <f>P119/$K$1</f>
        <v>0.5514828544949028</v>
      </c>
    </row>
    <row r="126" spans="1:16" ht="12.75">
      <c r="A126" s="6"/>
      <c r="B126" s="7"/>
      <c r="C126" s="7"/>
      <c r="D126" s="7"/>
      <c r="E126" s="7"/>
      <c r="F126" s="13"/>
      <c r="G126" s="7"/>
      <c r="H126" s="13"/>
      <c r="I126" s="7"/>
      <c r="J126" s="13"/>
      <c r="K126" s="7"/>
      <c r="L126" s="13"/>
      <c r="M126" s="7"/>
      <c r="N126" s="13"/>
      <c r="O126" s="7"/>
      <c r="P126" s="14"/>
    </row>
    <row r="127" spans="1:16" ht="12.75">
      <c r="A127" s="6" t="s">
        <v>14</v>
      </c>
      <c r="B127" s="7"/>
      <c r="C127" s="7"/>
      <c r="D127" s="7"/>
      <c r="E127" s="7"/>
      <c r="F127" s="15">
        <f>F124*$D122</f>
        <v>96.89555668930525</v>
      </c>
      <c r="G127" s="7"/>
      <c r="H127" s="15">
        <f>H124*$D122</f>
        <v>104.05751582954524</v>
      </c>
      <c r="I127" s="7"/>
      <c r="J127" s="15">
        <f>J124*$D122</f>
        <v>113.15377271344214</v>
      </c>
      <c r="K127" s="7"/>
      <c r="L127" s="15">
        <f>L124*$D122</f>
        <v>86.80045256078404</v>
      </c>
      <c r="M127" s="7"/>
      <c r="N127" s="15">
        <f>N124*$D122</f>
        <v>97.75499523064477</v>
      </c>
      <c r="O127" s="7"/>
      <c r="P127" s="16">
        <f>P124*$D122</f>
        <v>107.68878034062652</v>
      </c>
    </row>
    <row r="128" spans="1:16" ht="13.5" thickBot="1">
      <c r="A128" s="17" t="s">
        <v>15</v>
      </c>
      <c r="B128" s="18"/>
      <c r="C128" s="18"/>
      <c r="D128" s="18"/>
      <c r="E128" s="18"/>
      <c r="F128" s="19">
        <f>(1-F125)*F127</f>
        <v>71.91563155514649</v>
      </c>
      <c r="G128" s="18"/>
      <c r="H128" s="19">
        <f>(1-H125)*H127</f>
        <v>51.90407752662271</v>
      </c>
      <c r="I128" s="18"/>
      <c r="J128" s="19">
        <f>(1-J125)*J127</f>
        <v>53.09159506631233</v>
      </c>
      <c r="K128" s="18"/>
      <c r="L128" s="19">
        <f>(1-L125)*L127</f>
        <v>8.51030572419401</v>
      </c>
      <c r="M128" s="18"/>
      <c r="N128" s="19">
        <f>(1-N125)*N127</f>
        <v>34.89702531013755</v>
      </c>
      <c r="O128" s="18"/>
      <c r="P128" s="20">
        <f>(1-P125)*P127</f>
        <v>48.30026436130324</v>
      </c>
    </row>
    <row r="129" spans="1:12" ht="13.5" thickTop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 spans="1:12" ht="13.5" thickBot="1">
      <c r="A130" s="21"/>
      <c r="B130" s="21"/>
      <c r="C130" s="21"/>
      <c r="D130" s="21"/>
      <c r="E130" s="21"/>
      <c r="F130" s="25"/>
      <c r="G130" s="25"/>
      <c r="H130" s="25"/>
      <c r="I130" s="21"/>
      <c r="J130" s="25"/>
      <c r="K130" s="21"/>
      <c r="L130" s="25"/>
    </row>
    <row r="131" spans="1:16" ht="13.5" thickTop="1">
      <c r="A131" s="2" t="s">
        <v>118</v>
      </c>
      <c r="B131" s="3" t="s">
        <v>124</v>
      </c>
      <c r="C131" s="4"/>
      <c r="D131" s="4" t="s">
        <v>29</v>
      </c>
      <c r="E131" s="4">
        <v>480219</v>
      </c>
      <c r="F131" s="4" t="s">
        <v>30</v>
      </c>
      <c r="G131" s="4">
        <v>5620896</v>
      </c>
      <c r="H131" s="4"/>
      <c r="I131" s="4" t="s">
        <v>29</v>
      </c>
      <c r="J131" s="29" t="s">
        <v>120</v>
      </c>
      <c r="K131" s="4" t="s">
        <v>30</v>
      </c>
      <c r="L131" s="4" t="s">
        <v>119</v>
      </c>
      <c r="M131" s="29" t="s">
        <v>132</v>
      </c>
      <c r="N131" s="29"/>
      <c r="O131" s="29"/>
      <c r="P131" s="29"/>
    </row>
    <row r="132" spans="1:16" ht="12.75">
      <c r="A132" s="6" t="s">
        <v>6</v>
      </c>
      <c r="B132" s="7"/>
      <c r="C132" s="7"/>
      <c r="D132" s="7"/>
      <c r="E132" s="31" t="s">
        <v>125</v>
      </c>
      <c r="F132" s="31"/>
      <c r="G132" s="31" t="s">
        <v>126</v>
      </c>
      <c r="H132" s="31"/>
      <c r="I132" s="31" t="s">
        <v>127</v>
      </c>
      <c r="J132" s="31"/>
      <c r="K132" s="31" t="s">
        <v>128</v>
      </c>
      <c r="L132" s="31"/>
      <c r="M132" s="31" t="s">
        <v>122</v>
      </c>
      <c r="N132" s="31"/>
      <c r="O132" s="7" t="s">
        <v>129</v>
      </c>
      <c r="P132" s="9"/>
    </row>
    <row r="133" spans="1:16" ht="12.75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9"/>
    </row>
    <row r="134" spans="1:16" ht="12.75">
      <c r="A134" s="6" t="s">
        <v>17</v>
      </c>
      <c r="B134" s="7"/>
      <c r="C134" s="7"/>
      <c r="D134" s="7"/>
      <c r="E134" s="7"/>
      <c r="F134" s="7">
        <v>2768</v>
      </c>
      <c r="G134" s="7"/>
      <c r="H134" s="7">
        <v>2655</v>
      </c>
      <c r="I134" s="7"/>
      <c r="J134" s="7">
        <v>2522</v>
      </c>
      <c r="K134" s="7"/>
      <c r="L134" s="7">
        <v>3572</v>
      </c>
      <c r="M134" s="7"/>
      <c r="N134" s="7">
        <v>3070</v>
      </c>
      <c r="O134" s="7"/>
      <c r="P134" s="9">
        <v>2858</v>
      </c>
    </row>
    <row r="135" spans="1:16" ht="12.75">
      <c r="A135" s="6" t="s">
        <v>18</v>
      </c>
      <c r="B135" s="7"/>
      <c r="C135" s="7"/>
      <c r="D135" s="7">
        <v>172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9"/>
    </row>
    <row r="136" spans="1:16" ht="12.75">
      <c r="A136" s="6" t="s">
        <v>25</v>
      </c>
      <c r="B136" s="7"/>
      <c r="C136" s="7"/>
      <c r="D136" s="7"/>
      <c r="E136" s="31" t="s">
        <v>130</v>
      </c>
      <c r="F136" s="31"/>
      <c r="G136" s="31" t="s">
        <v>131</v>
      </c>
      <c r="H136" s="31"/>
      <c r="I136" s="31" t="s">
        <v>93</v>
      </c>
      <c r="J136" s="32"/>
      <c r="K136" s="31" t="s">
        <v>93</v>
      </c>
      <c r="L136" s="31"/>
      <c r="M136" s="31" t="s">
        <v>93</v>
      </c>
      <c r="N136" s="31"/>
      <c r="O136" s="31" t="s">
        <v>93</v>
      </c>
      <c r="P136" s="31"/>
    </row>
    <row r="137" spans="1:16" ht="12.75">
      <c r="A137" s="6"/>
      <c r="B137" s="7"/>
      <c r="C137" s="7"/>
      <c r="D137" s="7"/>
      <c r="E137" s="8"/>
      <c r="F137" s="8"/>
      <c r="G137" s="10"/>
      <c r="H137" s="8"/>
      <c r="I137" s="10"/>
      <c r="J137" s="8"/>
      <c r="K137" s="8"/>
      <c r="L137" s="8"/>
      <c r="M137" s="7"/>
      <c r="N137" s="7"/>
      <c r="O137" s="7"/>
      <c r="P137" s="9"/>
    </row>
    <row r="138" spans="1:16" ht="12.75">
      <c r="A138" s="6"/>
      <c r="B138" s="7" t="s">
        <v>24</v>
      </c>
      <c r="C138" s="7"/>
      <c r="D138" s="7"/>
      <c r="E138" s="7"/>
      <c r="F138" s="7">
        <f>107*25</f>
        <v>2675</v>
      </c>
      <c r="G138" s="7"/>
      <c r="H138" s="7">
        <f>63*25</f>
        <v>1575</v>
      </c>
      <c r="I138" s="7"/>
      <c r="J138" s="7">
        <f>66*25</f>
        <v>1650</v>
      </c>
      <c r="K138" s="7"/>
      <c r="L138" s="7">
        <f>64*25</f>
        <v>1600</v>
      </c>
      <c r="M138" s="7"/>
      <c r="N138" s="7">
        <f>64*25</f>
        <v>1600</v>
      </c>
      <c r="O138" s="7"/>
      <c r="P138" s="9">
        <f>73*25</f>
        <v>1825</v>
      </c>
    </row>
    <row r="139" spans="1:16" ht="12.75">
      <c r="A139" s="6" t="s">
        <v>19</v>
      </c>
      <c r="B139" s="7"/>
      <c r="C139" s="7"/>
      <c r="D139" s="7"/>
      <c r="E139" s="7"/>
      <c r="F139" s="7">
        <f>281+30</f>
        <v>311</v>
      </c>
      <c r="G139" s="7"/>
      <c r="H139" s="7">
        <f>254+20</f>
        <v>274</v>
      </c>
      <c r="I139" s="7"/>
      <c r="J139" s="7">
        <f>263+30</f>
        <v>293</v>
      </c>
      <c r="K139" s="7"/>
      <c r="L139" s="7">
        <f>257+30</f>
        <v>287</v>
      </c>
      <c r="M139" s="7"/>
      <c r="N139" s="7">
        <f>261+30</f>
        <v>291</v>
      </c>
      <c r="O139" s="7"/>
      <c r="P139" s="9">
        <f>275+30</f>
        <v>305</v>
      </c>
    </row>
    <row r="140" spans="1:16" ht="12.75">
      <c r="A140" s="6" t="s">
        <v>27</v>
      </c>
      <c r="B140" s="7"/>
      <c r="C140" s="7"/>
      <c r="D140" s="7"/>
      <c r="E140" s="7"/>
      <c r="F140" s="11">
        <f>F134*(F139-$D135)/F138</f>
        <v>143.83252336448598</v>
      </c>
      <c r="G140" s="7"/>
      <c r="H140" s="11">
        <f>H134*(H139-$D135)/H138</f>
        <v>171.94285714285715</v>
      </c>
      <c r="I140" s="7"/>
      <c r="J140" s="11">
        <f>J134*(J139-$D135)/J138</f>
        <v>184.94666666666666</v>
      </c>
      <c r="K140" s="7"/>
      <c r="L140" s="11">
        <f>L134*(L139-$D135)/L138</f>
        <v>256.7375</v>
      </c>
      <c r="M140" s="7"/>
      <c r="N140" s="11">
        <f>N134*(N139-$D135)/N138</f>
        <v>228.33125</v>
      </c>
      <c r="O140" s="7"/>
      <c r="P140" s="12">
        <f>P134*(P139-$D135)/P138</f>
        <v>208.28164383561645</v>
      </c>
    </row>
    <row r="141" spans="1:16" ht="12.75">
      <c r="A141" s="6" t="s">
        <v>28</v>
      </c>
      <c r="B141" s="7"/>
      <c r="C141" s="7"/>
      <c r="D141" s="7"/>
      <c r="E141" s="7"/>
      <c r="F141" s="11">
        <f>F140+$D135-E$5</f>
        <v>33.83252336448595</v>
      </c>
      <c r="G141" s="7"/>
      <c r="H141" s="11">
        <f>H140+$D135-G$5</f>
        <v>77.94285714285718</v>
      </c>
      <c r="I141" s="7"/>
      <c r="J141" s="11">
        <f>J140+$D135-I$5</f>
        <v>99.94666666666666</v>
      </c>
      <c r="K141" s="7"/>
      <c r="L141" s="11">
        <f>L140+$D135-K$5</f>
        <v>183.7375</v>
      </c>
      <c r="M141" s="7"/>
      <c r="N141" s="11">
        <f>N140+$D135-M$5</f>
        <v>138.33125</v>
      </c>
      <c r="O141" s="7"/>
      <c r="P141" s="12">
        <f>P140+$D135-O$5</f>
        <v>115.28164383561648</v>
      </c>
    </row>
    <row r="142" spans="1:16" ht="12.75">
      <c r="A142" s="6" t="s">
        <v>8</v>
      </c>
      <c r="B142" s="7"/>
      <c r="C142" s="7"/>
      <c r="D142" s="7">
        <v>1425</v>
      </c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9"/>
    </row>
    <row r="143" spans="1:16" ht="12.75">
      <c r="A143" s="6" t="s">
        <v>123</v>
      </c>
      <c r="B143" s="7"/>
      <c r="C143" s="7" t="s">
        <v>12</v>
      </c>
      <c r="D143" s="7">
        <v>139</v>
      </c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9"/>
    </row>
    <row r="144" spans="1:16" ht="12.75">
      <c r="A144" s="6"/>
      <c r="B144" s="7"/>
      <c r="C144" s="7" t="s">
        <v>13</v>
      </c>
      <c r="D144" s="7">
        <v>105.9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9"/>
    </row>
    <row r="145" spans="2:16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9"/>
    </row>
    <row r="146" spans="1:16" ht="12.75">
      <c r="A146" s="6" t="s">
        <v>9</v>
      </c>
      <c r="B146" s="7"/>
      <c r="C146" s="7" t="s">
        <v>20</v>
      </c>
      <c r="D146" s="7"/>
      <c r="E146" s="7"/>
      <c r="F146" s="13">
        <f>$K$1*$D142/($D143*F134)</f>
        <v>0.6148116189129621</v>
      </c>
      <c r="G146" s="13"/>
      <c r="H146" s="13">
        <f>$K$1*$D142/($D143*H134)</f>
        <v>0.640978742429785</v>
      </c>
      <c r="I146" s="7"/>
      <c r="J146" s="13">
        <f>$K$1*$D142/($D143*J134)</f>
        <v>0.6747813485928149</v>
      </c>
      <c r="K146" s="7"/>
      <c r="L146" s="13">
        <f>$K$1*$D142/($D143*L134)</f>
        <v>0.4764273687433032</v>
      </c>
      <c r="M146" s="7"/>
      <c r="N146" s="13">
        <f>$K$1*$D142/($D143*N134)</f>
        <v>0.554331778876573</v>
      </c>
      <c r="O146" s="7"/>
      <c r="P146" s="14">
        <f>$K$1*$D142/($D143*P134)</f>
        <v>0.5954508611445344</v>
      </c>
    </row>
    <row r="147" spans="1:16" ht="12.75">
      <c r="A147" s="6" t="s">
        <v>10</v>
      </c>
      <c r="B147" s="7"/>
      <c r="C147" s="7"/>
      <c r="D147" s="7"/>
      <c r="E147" s="7"/>
      <c r="F147" s="13">
        <f>F141/$K$1</f>
        <v>0.20381038171377078</v>
      </c>
      <c r="G147" s="7"/>
      <c r="H147" s="13">
        <f>H141/$K$1</f>
        <v>0.46953528399311556</v>
      </c>
      <c r="I147" s="7"/>
      <c r="J147" s="13">
        <f>J141/$K$1</f>
        <v>0.6020883534136545</v>
      </c>
      <c r="K147" s="7"/>
      <c r="L147" s="13">
        <f>L141/$K$1</f>
        <v>1.1068524096385544</v>
      </c>
      <c r="M147" s="7"/>
      <c r="N147" s="13">
        <f>N141/$K$1</f>
        <v>0.8333207831325302</v>
      </c>
      <c r="O147" s="7"/>
      <c r="P147" s="14">
        <f>P141/$K$1</f>
        <v>0.6944677339494969</v>
      </c>
    </row>
    <row r="148" spans="1:16" ht="12.75">
      <c r="A148" s="6"/>
      <c r="B148" s="7"/>
      <c r="C148" s="7"/>
      <c r="D148" s="7"/>
      <c r="E148" s="7"/>
      <c r="F148" s="13"/>
      <c r="G148" s="7"/>
      <c r="H148" s="13"/>
      <c r="I148" s="7"/>
      <c r="J148" s="13"/>
      <c r="K148" s="7"/>
      <c r="L148" s="13"/>
      <c r="M148" s="7"/>
      <c r="N148" s="13"/>
      <c r="O148" s="7"/>
      <c r="P148" s="14"/>
    </row>
    <row r="149" spans="1:16" ht="12.75">
      <c r="A149" s="6" t="s">
        <v>14</v>
      </c>
      <c r="B149" s="7"/>
      <c r="C149" s="7"/>
      <c r="D149" s="7"/>
      <c r="E149" s="7"/>
      <c r="F149" s="15">
        <f>F146*$D144</f>
        <v>65.10855044288269</v>
      </c>
      <c r="G149" s="7"/>
      <c r="H149" s="15">
        <f>H146*$D144</f>
        <v>67.87964882331424</v>
      </c>
      <c r="I149" s="7"/>
      <c r="J149" s="15">
        <f>J146*$D144</f>
        <v>71.45934481597911</v>
      </c>
      <c r="K149" s="7"/>
      <c r="L149" s="15">
        <f>L146*$D144</f>
        <v>50.45365834991581</v>
      </c>
      <c r="M149" s="7"/>
      <c r="N149" s="15">
        <f>N146*$D144</f>
        <v>58.703735383029084</v>
      </c>
      <c r="O149" s="7"/>
      <c r="P149" s="16">
        <f>P146*$D144</f>
        <v>63.058246195206195</v>
      </c>
    </row>
    <row r="150" spans="1:16" ht="13.5" thickBot="1">
      <c r="A150" s="17" t="s">
        <v>15</v>
      </c>
      <c r="B150" s="18"/>
      <c r="C150" s="18"/>
      <c r="D150" s="18"/>
      <c r="E150" s="18"/>
      <c r="F150" s="19">
        <f>(1-F147)*F149</f>
        <v>51.83875192428847</v>
      </c>
      <c r="G150" s="18"/>
      <c r="H150" s="19">
        <f>(1-H147)*H149</f>
        <v>36.00775863570644</v>
      </c>
      <c r="I150" s="18"/>
      <c r="J150" s="19">
        <f>(1-J147)*J149</f>
        <v>28.434505559707677</v>
      </c>
      <c r="K150" s="18"/>
      <c r="L150" s="19">
        <f>(1-L147)*L149</f>
        <v>-5.391094969768873</v>
      </c>
      <c r="M150" s="18"/>
      <c r="N150" s="19">
        <f>(1-N147)*N149</f>
        <v>9.784692640838465</v>
      </c>
      <c r="O150" s="18"/>
      <c r="P150" s="20">
        <f>(1-P147)*P149</f>
        <v>19.266328853191865</v>
      </c>
    </row>
    <row r="151" spans="1:12" ht="13.5" thickTop="1">
      <c r="A151" s="21"/>
      <c r="B151" s="21"/>
      <c r="C151" s="21"/>
      <c r="D151" s="21"/>
      <c r="E151" s="21"/>
      <c r="F151" s="25"/>
      <c r="G151" s="21"/>
      <c r="H151" s="25"/>
      <c r="I151" s="21"/>
      <c r="J151" s="25"/>
      <c r="K151" s="21"/>
      <c r="L151" s="25"/>
    </row>
    <row r="152" spans="1:12" ht="12.75">
      <c r="A152" s="21"/>
      <c r="B152" s="21"/>
      <c r="C152" s="21"/>
      <c r="D152" s="21"/>
      <c r="E152" s="21"/>
      <c r="F152" s="26"/>
      <c r="G152" s="21"/>
      <c r="H152" s="26"/>
      <c r="I152" s="21"/>
      <c r="J152" s="26"/>
      <c r="K152" s="21"/>
      <c r="L152" s="26"/>
    </row>
    <row r="153" spans="1:12" ht="12.75">
      <c r="A153" s="21"/>
      <c r="B153" s="21"/>
      <c r="C153" s="21"/>
      <c r="D153" s="21"/>
      <c r="E153" s="21"/>
      <c r="F153" s="26"/>
      <c r="G153" s="21"/>
      <c r="H153" s="26"/>
      <c r="I153" s="21"/>
      <c r="J153" s="26"/>
      <c r="K153" s="21"/>
      <c r="L153" s="26"/>
    </row>
    <row r="154" spans="1:13" ht="12.75">
      <c r="A154" s="21"/>
      <c r="B154" s="21"/>
      <c r="C154" s="21"/>
      <c r="D154" s="21"/>
      <c r="E154" s="21"/>
      <c r="F154" s="26"/>
      <c r="G154" s="27"/>
      <c r="H154" s="26"/>
      <c r="I154" s="27"/>
      <c r="J154" s="26"/>
      <c r="K154" s="27"/>
      <c r="L154" s="26"/>
      <c r="M154" s="1"/>
    </row>
    <row r="155" spans="1:12" ht="12.75">
      <c r="A155" s="21"/>
      <c r="B155" s="21"/>
      <c r="C155" s="21"/>
      <c r="D155" s="21"/>
      <c r="E155" s="21"/>
      <c r="F155" s="26"/>
      <c r="G155" s="26"/>
      <c r="H155" s="26"/>
      <c r="I155" s="26"/>
      <c r="J155" s="26"/>
      <c r="K155" s="26"/>
      <c r="L155" s="26"/>
    </row>
    <row r="156" spans="1:12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</row>
    <row r="157" spans="1:12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</row>
    <row r="158" spans="1:12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</row>
    <row r="159" spans="1:12" ht="12.75">
      <c r="A159" s="21"/>
      <c r="B159" s="21"/>
      <c r="C159" s="21"/>
      <c r="D159" s="21"/>
      <c r="E159" s="22"/>
      <c r="F159" s="22"/>
      <c r="G159" s="23"/>
      <c r="H159" s="22"/>
      <c r="I159" s="23"/>
      <c r="J159" s="22"/>
      <c r="K159" s="22"/>
      <c r="L159" s="22"/>
    </row>
    <row r="160" spans="1:12" ht="12.75">
      <c r="A160" s="21"/>
      <c r="B160" s="21"/>
      <c r="C160" s="21"/>
      <c r="D160" s="21"/>
      <c r="E160" s="21"/>
      <c r="F160" s="24"/>
      <c r="G160" s="24"/>
      <c r="H160" s="24"/>
      <c r="I160" s="24"/>
      <c r="J160" s="24"/>
      <c r="K160" s="24"/>
      <c r="L160" s="24"/>
    </row>
    <row r="161" spans="1:12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</row>
    <row r="162" spans="1:12" ht="12.75">
      <c r="A162" s="21"/>
      <c r="B162" s="21"/>
      <c r="C162" s="21"/>
      <c r="D162" s="21"/>
      <c r="E162" s="21"/>
      <c r="F162" s="24"/>
      <c r="G162" s="21"/>
      <c r="H162" s="24"/>
      <c r="I162" s="21"/>
      <c r="J162" s="24"/>
      <c r="K162" s="21"/>
      <c r="L162" s="24"/>
    </row>
    <row r="163" spans="1:12" ht="12.75">
      <c r="A163" s="21"/>
      <c r="B163" s="21"/>
      <c r="C163" s="21"/>
      <c r="D163" s="21"/>
      <c r="E163" s="21"/>
      <c r="F163" s="24"/>
      <c r="G163" s="21"/>
      <c r="H163" s="24"/>
      <c r="I163" s="21"/>
      <c r="J163" s="24"/>
      <c r="K163" s="21"/>
      <c r="L163" s="24"/>
    </row>
    <row r="164" spans="1:12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</row>
    <row r="165" spans="1:12" ht="12.75">
      <c r="A165" s="21"/>
      <c r="B165" s="21"/>
      <c r="C165" s="21"/>
      <c r="D165" s="25"/>
      <c r="E165" s="21"/>
      <c r="F165" s="21"/>
      <c r="G165" s="21"/>
      <c r="H165" s="21"/>
      <c r="I165" s="21"/>
      <c r="J165" s="21"/>
      <c r="K165" s="21"/>
      <c r="L165" s="21"/>
    </row>
    <row r="166" spans="1:12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</row>
    <row r="167" spans="1:12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</row>
    <row r="168" spans="1:12" ht="12.75">
      <c r="A168" s="21"/>
      <c r="B168" s="21"/>
      <c r="C168" s="21"/>
      <c r="D168" s="21"/>
      <c r="E168" s="21"/>
      <c r="F168" s="25"/>
      <c r="G168" s="25"/>
      <c r="H168" s="25"/>
      <c r="I168" s="21"/>
      <c r="J168" s="25"/>
      <c r="K168" s="21"/>
      <c r="L168" s="25"/>
    </row>
    <row r="169" spans="1:12" ht="12.75">
      <c r="A169" s="21"/>
      <c r="B169" s="21"/>
      <c r="C169" s="21"/>
      <c r="D169" s="21"/>
      <c r="E169" s="21"/>
      <c r="F169" s="25"/>
      <c r="G169" s="21"/>
      <c r="H169" s="25"/>
      <c r="I169" s="21"/>
      <c r="J169" s="25"/>
      <c r="K169" s="21"/>
      <c r="L169" s="25"/>
    </row>
    <row r="170" spans="1:12" ht="12.75">
      <c r="A170" s="21"/>
      <c r="B170" s="21"/>
      <c r="C170" s="21"/>
      <c r="D170" s="21"/>
      <c r="E170" s="21"/>
      <c r="F170" s="25"/>
      <c r="G170" s="21"/>
      <c r="H170" s="25"/>
      <c r="I170" s="21"/>
      <c r="J170" s="25"/>
      <c r="K170" s="21"/>
      <c r="L170" s="25"/>
    </row>
    <row r="171" spans="1:12" ht="12.75">
      <c r="A171" s="21"/>
      <c r="B171" s="21"/>
      <c r="C171" s="21"/>
      <c r="D171" s="21"/>
      <c r="E171" s="21"/>
      <c r="F171" s="26"/>
      <c r="G171" s="21"/>
      <c r="H171" s="26"/>
      <c r="I171" s="21"/>
      <c r="J171" s="26"/>
      <c r="K171" s="21"/>
      <c r="L171" s="26"/>
    </row>
    <row r="172" spans="1:12" ht="12.75">
      <c r="A172" s="21"/>
      <c r="B172" s="21"/>
      <c r="C172" s="21"/>
      <c r="D172" s="21"/>
      <c r="E172" s="21"/>
      <c r="F172" s="26"/>
      <c r="G172" s="21"/>
      <c r="H172" s="26"/>
      <c r="I172" s="21"/>
      <c r="J172" s="26"/>
      <c r="K172" s="21"/>
      <c r="L172" s="26"/>
    </row>
    <row r="173" spans="1:13" ht="12.75">
      <c r="A173" s="21"/>
      <c r="B173" s="21"/>
      <c r="C173" s="21"/>
      <c r="D173" s="21"/>
      <c r="E173" s="21"/>
      <c r="F173" s="26"/>
      <c r="G173" s="27"/>
      <c r="H173" s="26"/>
      <c r="I173" s="27"/>
      <c r="J173" s="26"/>
      <c r="K173" s="27"/>
      <c r="L173" s="26"/>
      <c r="M173" s="1"/>
    </row>
    <row r="174" spans="1:12" ht="12.75">
      <c r="A174" s="21"/>
      <c r="B174" s="21"/>
      <c r="C174" s="21"/>
      <c r="D174" s="21"/>
      <c r="E174" s="21"/>
      <c r="F174" s="26"/>
      <c r="G174" s="26"/>
      <c r="H174" s="26"/>
      <c r="I174" s="26"/>
      <c r="J174" s="26"/>
      <c r="K174" s="26"/>
      <c r="L174" s="26"/>
    </row>
    <row r="175" spans="1:12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</row>
    <row r="176" spans="1:12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</row>
    <row r="177" spans="1:12" ht="12.75">
      <c r="A177" s="21"/>
      <c r="B177" s="21"/>
      <c r="C177" s="21"/>
      <c r="D177" s="21"/>
      <c r="E177" s="21"/>
      <c r="F177" s="25"/>
      <c r="G177" s="25"/>
      <c r="H177" s="25"/>
      <c r="I177" s="25"/>
      <c r="J177" s="25"/>
      <c r="K177" s="25"/>
      <c r="L177" s="25"/>
    </row>
    <row r="178" spans="1:12" ht="12.75">
      <c r="A178" s="21"/>
      <c r="B178" s="21"/>
      <c r="C178" s="21"/>
      <c r="D178" s="21"/>
      <c r="E178" s="21"/>
      <c r="F178" s="25"/>
      <c r="G178" s="25"/>
      <c r="H178" s="25"/>
      <c r="I178" s="25"/>
      <c r="J178" s="25"/>
      <c r="K178" s="25"/>
      <c r="L178" s="25"/>
    </row>
    <row r="179" spans="1:12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1:12" ht="12.75">
      <c r="A180" s="21"/>
      <c r="B180" s="21"/>
      <c r="C180" s="21"/>
      <c r="D180" s="21"/>
      <c r="E180" s="21"/>
      <c r="F180" s="26"/>
      <c r="G180" s="26"/>
      <c r="H180" s="26"/>
      <c r="I180" s="26"/>
      <c r="J180" s="26"/>
      <c r="K180" s="26"/>
      <c r="L180" s="26"/>
    </row>
    <row r="181" spans="1:12" ht="12.75">
      <c r="A181" s="21"/>
      <c r="B181" s="21"/>
      <c r="C181" s="21"/>
      <c r="D181" s="21"/>
      <c r="E181" s="21"/>
      <c r="F181" s="26"/>
      <c r="G181" s="26"/>
      <c r="H181" s="26"/>
      <c r="I181" s="26"/>
      <c r="J181" s="26"/>
      <c r="K181" s="26"/>
      <c r="L181" s="26"/>
    </row>
    <row r="182" spans="1:12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</row>
    <row r="183" spans="1:12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</row>
    <row r="184" spans="1:12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</row>
    <row r="185" spans="1:12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</row>
    <row r="186" spans="1:12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</row>
    <row r="187" spans="1:12" ht="12.75">
      <c r="A187" s="21"/>
      <c r="B187" s="21"/>
      <c r="C187" s="21"/>
      <c r="D187" s="21"/>
      <c r="E187" s="22"/>
      <c r="F187" s="22"/>
      <c r="G187" s="23"/>
      <c r="H187" s="22"/>
      <c r="I187" s="23"/>
      <c r="J187" s="22"/>
      <c r="K187" s="22"/>
      <c r="L187" s="22"/>
    </row>
    <row r="188" spans="1:12" ht="12.75">
      <c r="A188" s="21"/>
      <c r="B188" s="21"/>
      <c r="C188" s="21"/>
      <c r="D188" s="21"/>
      <c r="E188" s="21"/>
      <c r="F188" s="24"/>
      <c r="G188" s="24"/>
      <c r="H188" s="24"/>
      <c r="I188" s="24"/>
      <c r="J188" s="24"/>
      <c r="K188" s="24"/>
      <c r="L188" s="24"/>
    </row>
    <row r="189" spans="1:12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12.75">
      <c r="A190" s="21"/>
      <c r="B190" s="21"/>
      <c r="C190" s="21"/>
      <c r="D190" s="21"/>
      <c r="E190" s="21"/>
      <c r="F190" s="24"/>
      <c r="G190" s="21"/>
      <c r="H190" s="24"/>
      <c r="I190" s="21"/>
      <c r="J190" s="24"/>
      <c r="K190" s="21"/>
      <c r="L190" s="24"/>
    </row>
    <row r="191" spans="1:12" ht="12.75">
      <c r="A191" s="21"/>
      <c r="B191" s="21"/>
      <c r="C191" s="21"/>
      <c r="D191" s="21"/>
      <c r="E191" s="21"/>
      <c r="F191" s="24"/>
      <c r="G191" s="21"/>
      <c r="H191" s="24"/>
      <c r="I191" s="21"/>
      <c r="J191" s="24"/>
      <c r="K191" s="21"/>
      <c r="L191" s="24"/>
    </row>
    <row r="192" spans="1:12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</row>
    <row r="193" spans="1:12" ht="12.75">
      <c r="A193" s="21"/>
      <c r="B193" s="21"/>
      <c r="C193" s="21"/>
      <c r="D193" s="25"/>
      <c r="E193" s="21"/>
      <c r="F193" s="21"/>
      <c r="G193" s="21"/>
      <c r="H193" s="21"/>
      <c r="I193" s="21"/>
      <c r="J193" s="21"/>
      <c r="K193" s="21"/>
      <c r="L193" s="21"/>
    </row>
    <row r="194" spans="1:12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</row>
    <row r="195" spans="1:12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</row>
    <row r="196" spans="1:12" ht="12.75">
      <c r="A196" s="21"/>
      <c r="B196" s="21"/>
      <c r="C196" s="21"/>
      <c r="D196" s="21"/>
      <c r="E196" s="21"/>
      <c r="F196" s="25"/>
      <c r="G196" s="25"/>
      <c r="H196" s="25"/>
      <c r="I196" s="21"/>
      <c r="J196" s="25"/>
      <c r="K196" s="21"/>
      <c r="L196" s="25"/>
    </row>
    <row r="197" spans="1:12" ht="12.75">
      <c r="A197" s="21"/>
      <c r="B197" s="21"/>
      <c r="C197" s="21"/>
      <c r="D197" s="21"/>
      <c r="E197" s="21"/>
      <c r="F197" s="25"/>
      <c r="G197" s="21"/>
      <c r="H197" s="25"/>
      <c r="I197" s="21"/>
      <c r="J197" s="25"/>
      <c r="K197" s="21"/>
      <c r="L197" s="25"/>
    </row>
    <row r="198" spans="1:12" ht="12.75">
      <c r="A198" s="21"/>
      <c r="B198" s="21"/>
      <c r="C198" s="21"/>
      <c r="D198" s="21"/>
      <c r="E198" s="21"/>
      <c r="F198" s="25"/>
      <c r="G198" s="21"/>
      <c r="H198" s="25"/>
      <c r="I198" s="21"/>
      <c r="J198" s="25"/>
      <c r="K198" s="21"/>
      <c r="L198" s="25"/>
    </row>
    <row r="199" spans="1:12" ht="12.75">
      <c r="A199" s="21"/>
      <c r="B199" s="21"/>
      <c r="C199" s="21"/>
      <c r="D199" s="21"/>
      <c r="E199" s="21"/>
      <c r="F199" s="26"/>
      <c r="G199" s="21"/>
      <c r="H199" s="26"/>
      <c r="I199" s="21"/>
      <c r="J199" s="26"/>
      <c r="K199" s="21"/>
      <c r="L199" s="26"/>
    </row>
    <row r="200" spans="1:12" ht="12.75">
      <c r="A200" s="21"/>
      <c r="B200" s="21"/>
      <c r="C200" s="21"/>
      <c r="D200" s="21"/>
      <c r="E200" s="21"/>
      <c r="F200" s="26"/>
      <c r="G200" s="21"/>
      <c r="H200" s="26"/>
      <c r="I200" s="21"/>
      <c r="J200" s="26"/>
      <c r="K200" s="21"/>
      <c r="L200" s="26"/>
    </row>
    <row r="201" spans="1:12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</row>
    <row r="202" spans="1:12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</row>
    <row r="203" spans="1:12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</row>
    <row r="204" spans="1:12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</row>
    <row r="205" spans="1:12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</row>
    <row r="206" spans="1:12" ht="12.75">
      <c r="A206" s="21"/>
      <c r="B206" s="21"/>
      <c r="C206" s="21"/>
      <c r="D206" s="21"/>
      <c r="E206" s="21"/>
      <c r="F206" s="25"/>
      <c r="G206" s="25"/>
      <c r="H206" s="25"/>
      <c r="I206" s="25"/>
      <c r="J206" s="25"/>
      <c r="K206" s="25"/>
      <c r="L206" s="25"/>
    </row>
    <row r="207" spans="1:12" ht="12.75">
      <c r="A207" s="21"/>
      <c r="B207" s="21"/>
      <c r="C207" s="21"/>
      <c r="D207" s="21"/>
      <c r="E207" s="21"/>
      <c r="F207" s="25"/>
      <c r="G207" s="25"/>
      <c r="H207" s="25"/>
      <c r="I207" s="25"/>
      <c r="J207" s="25"/>
      <c r="K207" s="25"/>
      <c r="L207" s="25"/>
    </row>
    <row r="208" spans="1:12" ht="12.75">
      <c r="A208" s="21"/>
      <c r="B208" s="21"/>
      <c r="C208" s="21"/>
      <c r="D208" s="21"/>
      <c r="E208" s="21"/>
      <c r="F208" s="25"/>
      <c r="G208" s="25"/>
      <c r="H208" s="25"/>
      <c r="I208" s="25"/>
      <c r="J208" s="25"/>
      <c r="K208" s="25"/>
      <c r="L208" s="25"/>
    </row>
    <row r="209" spans="1:12" ht="12.75">
      <c r="A209" s="21"/>
      <c r="B209" s="21"/>
      <c r="C209" s="21"/>
      <c r="D209" s="21"/>
      <c r="E209" s="21"/>
      <c r="F209" s="26"/>
      <c r="G209" s="26"/>
      <c r="H209" s="26"/>
      <c r="I209" s="26"/>
      <c r="J209" s="26"/>
      <c r="K209" s="26"/>
      <c r="L209" s="26"/>
    </row>
    <row r="210" spans="1:12" ht="12.75">
      <c r="A210" s="21"/>
      <c r="B210" s="21"/>
      <c r="C210" s="21"/>
      <c r="D210" s="21"/>
      <c r="E210" s="21"/>
      <c r="F210" s="26"/>
      <c r="G210" s="26"/>
      <c r="H210" s="26"/>
      <c r="I210" s="26"/>
      <c r="J210" s="26"/>
      <c r="K210" s="26"/>
      <c r="L210" s="26"/>
    </row>
    <row r="211" spans="1:12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</row>
    <row r="212" spans="1:12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</row>
    <row r="213" spans="1:12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</row>
    <row r="214" spans="1:12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</row>
    <row r="215" spans="1:12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</row>
    <row r="216" spans="1:12" ht="12.75">
      <c r="A216" s="21"/>
      <c r="B216" s="21"/>
      <c r="C216" s="21"/>
      <c r="D216" s="21"/>
      <c r="E216" s="21"/>
      <c r="F216" s="22"/>
      <c r="G216" s="33"/>
      <c r="H216" s="33"/>
      <c r="I216" s="21"/>
      <c r="J216" s="21"/>
      <c r="K216" s="21"/>
      <c r="L216" s="21"/>
    </row>
    <row r="217" spans="1:12" ht="12.75">
      <c r="A217" s="21"/>
      <c r="B217" s="21"/>
      <c r="C217" s="21"/>
      <c r="D217" s="21"/>
      <c r="E217" s="22"/>
      <c r="F217" s="22"/>
      <c r="G217" s="23"/>
      <c r="H217" s="22"/>
      <c r="I217" s="23"/>
      <c r="J217" s="22"/>
      <c r="K217" s="22"/>
      <c r="L217" s="22"/>
    </row>
    <row r="218" spans="1:12" ht="12.75">
      <c r="A218" s="21"/>
      <c r="B218" s="21"/>
      <c r="C218" s="21"/>
      <c r="D218" s="21"/>
      <c r="E218" s="21"/>
      <c r="F218" s="24"/>
      <c r="G218" s="24"/>
      <c r="H218" s="24"/>
      <c r="I218" s="24"/>
      <c r="J218" s="24"/>
      <c r="K218" s="24"/>
      <c r="L218" s="24"/>
    </row>
    <row r="219" spans="1:12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</row>
    <row r="220" spans="1:12" ht="12.75">
      <c r="A220" s="21"/>
      <c r="B220" s="21"/>
      <c r="C220" s="21"/>
      <c r="D220" s="21"/>
      <c r="E220" s="21"/>
      <c r="F220" s="24"/>
      <c r="G220" s="21"/>
      <c r="H220" s="24"/>
      <c r="I220" s="21"/>
      <c r="J220" s="24"/>
      <c r="K220" s="21"/>
      <c r="L220" s="24"/>
    </row>
    <row r="221" spans="1:12" ht="12.75">
      <c r="A221" s="21"/>
      <c r="B221" s="21"/>
      <c r="C221" s="21"/>
      <c r="D221" s="21"/>
      <c r="E221" s="21"/>
      <c r="F221" s="24"/>
      <c r="G221" s="21"/>
      <c r="H221" s="24"/>
      <c r="I221" s="21"/>
      <c r="J221" s="24"/>
      <c r="K221" s="21"/>
      <c r="L221" s="24"/>
    </row>
    <row r="222" spans="1:12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</row>
    <row r="223" spans="1:12" ht="12.75">
      <c r="A223" s="21"/>
      <c r="B223" s="21"/>
      <c r="C223" s="21"/>
      <c r="D223" s="25"/>
      <c r="E223" s="21"/>
      <c r="F223" s="21"/>
      <c r="G223" s="21"/>
      <c r="H223" s="21"/>
      <c r="I223" s="21"/>
      <c r="J223" s="21"/>
      <c r="K223" s="21"/>
      <c r="L223" s="21"/>
    </row>
    <row r="224" spans="1:12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</row>
    <row r="225" spans="1:12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</row>
    <row r="226" spans="1:12" ht="12.75">
      <c r="A226" s="21"/>
      <c r="B226" s="21"/>
      <c r="C226" s="21"/>
      <c r="D226" s="21"/>
      <c r="E226" s="21"/>
      <c r="F226" s="25"/>
      <c r="G226" s="25"/>
      <c r="H226" s="25"/>
      <c r="I226" s="21"/>
      <c r="J226" s="25"/>
      <c r="K226" s="21"/>
      <c r="L226" s="25"/>
    </row>
    <row r="227" spans="1:12" ht="12.75">
      <c r="A227" s="21"/>
      <c r="B227" s="21"/>
      <c r="C227" s="21"/>
      <c r="D227" s="21"/>
      <c r="E227" s="21"/>
      <c r="F227" s="25"/>
      <c r="G227" s="21"/>
      <c r="H227" s="25"/>
      <c r="I227" s="21"/>
      <c r="J227" s="25"/>
      <c r="K227" s="21"/>
      <c r="L227" s="25"/>
    </row>
    <row r="228" spans="1:12" ht="12.75">
      <c r="A228" s="21"/>
      <c r="B228" s="21"/>
      <c r="C228" s="21"/>
      <c r="D228" s="21"/>
      <c r="E228" s="21"/>
      <c r="F228" s="25"/>
      <c r="G228" s="21"/>
      <c r="H228" s="25"/>
      <c r="I228" s="21"/>
      <c r="J228" s="25"/>
      <c r="K228" s="21"/>
      <c r="L228" s="25"/>
    </row>
    <row r="229" spans="1:12" ht="12.75">
      <c r="A229" s="21"/>
      <c r="B229" s="21"/>
      <c r="C229" s="21"/>
      <c r="D229" s="21"/>
      <c r="E229" s="21"/>
      <c r="F229" s="26"/>
      <c r="G229" s="21"/>
      <c r="H229" s="26"/>
      <c r="I229" s="21"/>
      <c r="J229" s="26"/>
      <c r="K229" s="21"/>
      <c r="L229" s="26"/>
    </row>
    <row r="230" spans="1:12" ht="12.75">
      <c r="A230" s="21"/>
      <c r="B230" s="21"/>
      <c r="C230" s="21"/>
      <c r="D230" s="21"/>
      <c r="E230" s="21"/>
      <c r="F230" s="26"/>
      <c r="G230" s="21"/>
      <c r="H230" s="26"/>
      <c r="I230" s="21"/>
      <c r="J230" s="26"/>
      <c r="K230" s="21"/>
      <c r="L230" s="26"/>
    </row>
    <row r="231" spans="1:12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</row>
    <row r="232" spans="1:12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</row>
    <row r="233" spans="1:12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</row>
    <row r="234" spans="1:12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</row>
    <row r="235" spans="1:12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</row>
    <row r="236" spans="1:12" ht="12.75">
      <c r="A236" s="21"/>
      <c r="B236" s="21"/>
      <c r="C236" s="21"/>
      <c r="D236" s="21"/>
      <c r="E236" s="21"/>
      <c r="F236" s="24"/>
      <c r="G236" s="24"/>
      <c r="H236" s="24"/>
      <c r="I236" s="24"/>
      <c r="J236" s="24"/>
      <c r="K236" s="24"/>
      <c r="L236" s="24"/>
    </row>
    <row r="237" spans="1:12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</row>
    <row r="238" spans="1:12" ht="12.75">
      <c r="A238" s="21"/>
      <c r="B238" s="21"/>
      <c r="C238" s="21"/>
      <c r="D238" s="21"/>
      <c r="E238" s="21"/>
      <c r="F238" s="24"/>
      <c r="G238" s="21"/>
      <c r="H238" s="24"/>
      <c r="I238" s="21"/>
      <c r="J238" s="24"/>
      <c r="K238" s="21"/>
      <c r="L238" s="24"/>
    </row>
    <row r="239" spans="1:12" ht="12.75">
      <c r="A239" s="21"/>
      <c r="B239" s="21"/>
      <c r="C239" s="21"/>
      <c r="D239" s="21"/>
      <c r="E239" s="21"/>
      <c r="F239" s="24"/>
      <c r="G239" s="21"/>
      <c r="H239" s="24"/>
      <c r="I239" s="21"/>
      <c r="J239" s="24"/>
      <c r="K239" s="21"/>
      <c r="L239" s="24"/>
    </row>
    <row r="240" spans="1:12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</row>
    <row r="241" spans="1:12" ht="12.75">
      <c r="A241" s="21"/>
      <c r="B241" s="21"/>
      <c r="C241" s="21"/>
      <c r="D241" s="25"/>
      <c r="E241" s="21"/>
      <c r="F241" s="21"/>
      <c r="G241" s="21"/>
      <c r="H241" s="21"/>
      <c r="I241" s="21"/>
      <c r="J241" s="21"/>
      <c r="K241" s="21"/>
      <c r="L241" s="21"/>
    </row>
    <row r="242" spans="1:12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</row>
    <row r="243" spans="1:12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</row>
    <row r="244" spans="1:12" ht="12.75">
      <c r="A244" s="21"/>
      <c r="B244" s="21"/>
      <c r="C244" s="21"/>
      <c r="D244" s="21"/>
      <c r="E244" s="21"/>
      <c r="F244" s="25"/>
      <c r="G244" s="25"/>
      <c r="H244" s="25"/>
      <c r="I244" s="21"/>
      <c r="J244" s="25"/>
      <c r="K244" s="21"/>
      <c r="L244" s="25"/>
    </row>
    <row r="245" spans="1:12" ht="12.75">
      <c r="A245" s="21"/>
      <c r="B245" s="21"/>
      <c r="C245" s="21"/>
      <c r="D245" s="21"/>
      <c r="E245" s="21"/>
      <c r="F245" s="25"/>
      <c r="G245" s="21"/>
      <c r="H245" s="25"/>
      <c r="I245" s="21"/>
      <c r="J245" s="25"/>
      <c r="K245" s="21"/>
      <c r="L245" s="25"/>
    </row>
    <row r="246" spans="1:12" ht="12.75">
      <c r="A246" s="21"/>
      <c r="B246" s="21"/>
      <c r="C246" s="21"/>
      <c r="D246" s="21"/>
      <c r="E246" s="21"/>
      <c r="F246" s="25"/>
      <c r="G246" s="21"/>
      <c r="H246" s="25"/>
      <c r="I246" s="21"/>
      <c r="J246" s="25"/>
      <c r="K246" s="21"/>
      <c r="L246" s="25"/>
    </row>
    <row r="247" spans="1:12" ht="12.75">
      <c r="A247" s="21"/>
      <c r="B247" s="21"/>
      <c r="C247" s="21"/>
      <c r="D247" s="21"/>
      <c r="E247" s="21"/>
      <c r="F247" s="26"/>
      <c r="G247" s="21"/>
      <c r="H247" s="26"/>
      <c r="I247" s="21"/>
      <c r="J247" s="26"/>
      <c r="K247" s="21"/>
      <c r="L247" s="26"/>
    </row>
    <row r="248" spans="1:12" ht="12.75">
      <c r="A248" s="21"/>
      <c r="B248" s="21"/>
      <c r="C248" s="21"/>
      <c r="D248" s="21"/>
      <c r="E248" s="21"/>
      <c r="F248" s="26"/>
      <c r="G248" s="21"/>
      <c r="H248" s="26"/>
      <c r="I248" s="21"/>
      <c r="J248" s="26"/>
      <c r="K248" s="21"/>
      <c r="L248" s="26"/>
    </row>
    <row r="249" spans="1:12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</row>
    <row r="250" spans="1:12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</row>
    <row r="251" spans="1:12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</row>
    <row r="252" spans="1:12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</row>
    <row r="253" spans="1:12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</row>
    <row r="254" spans="1:12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</row>
    <row r="255" spans="1:12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</row>
    <row r="256" spans="1:12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</row>
    <row r="257" spans="1:12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</row>
    <row r="258" spans="1:12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</row>
    <row r="259" spans="1:12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</row>
    <row r="260" spans="1:12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</row>
    <row r="261" spans="1:12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</row>
    <row r="262" spans="1:12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</row>
    <row r="263" spans="1:12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2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</row>
    <row r="265" spans="1:12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1:12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</row>
    <row r="267" spans="1:12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</row>
    <row r="268" spans="1:12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2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</row>
    <row r="270" spans="1:12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</row>
    <row r="271" spans="1:12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</row>
    <row r="272" spans="1:12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</row>
    <row r="273" spans="1:12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</row>
    <row r="274" spans="1:12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</row>
    <row r="275" spans="1:12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</row>
    <row r="276" spans="1:12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</row>
    <row r="277" spans="1:12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</row>
    <row r="278" spans="1:12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</row>
    <row r="279" spans="1:12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</row>
    <row r="280" spans="1:12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</row>
    <row r="281" spans="1:12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</row>
    <row r="282" spans="1:12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</row>
    <row r="283" spans="1:12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</row>
    <row r="284" spans="1:12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</row>
    <row r="285" spans="1:12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</row>
    <row r="286" spans="1:12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</row>
    <row r="287" spans="1:12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</row>
    <row r="288" spans="1:12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</row>
    <row r="289" spans="1:12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</row>
    <row r="290" spans="1:12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</row>
    <row r="291" spans="1:12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</row>
    <row r="292" spans="1:12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</row>
    <row r="293" spans="1:12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</row>
    <row r="294" spans="1:12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</row>
    <row r="295" spans="1:12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</row>
    <row r="296" spans="1:12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</row>
    <row r="297" spans="1:12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</row>
    <row r="298" spans="1:12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</row>
    <row r="299" spans="1:12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</row>
    <row r="300" spans="1:12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</row>
    <row r="301" spans="1:12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</row>
    <row r="302" spans="1:12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</row>
    <row r="303" spans="1:12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</row>
    <row r="304" spans="1:12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</row>
    <row r="305" spans="1:12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</row>
    <row r="306" spans="1:12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</row>
    <row r="307" spans="1:12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</row>
    <row r="308" spans="1:12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</row>
    <row r="309" spans="1:12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</row>
    <row r="310" spans="1:12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</row>
    <row r="311" spans="1:12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</row>
    <row r="312" spans="1:12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</row>
    <row r="313" spans="1:12" ht="12.7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</row>
    <row r="314" spans="1:12" ht="12.7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</row>
    <row r="315" spans="1:12" ht="12.7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</row>
    <row r="316" spans="1:12" ht="12.7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</row>
    <row r="317" spans="1:12" ht="12.7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</row>
    <row r="318" spans="1:12" ht="12.7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</row>
    <row r="319" spans="1:12" ht="12.7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</row>
    <row r="320" spans="1:12" ht="12.7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</row>
    <row r="321" spans="1:12" ht="12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</row>
    <row r="322" spans="1:12" ht="12.7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</row>
    <row r="323" spans="1:12" ht="12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</row>
    <row r="324" spans="1:12" ht="12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</row>
    <row r="325" spans="1:12" ht="12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</row>
    <row r="326" spans="1:12" ht="12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</row>
    <row r="327" spans="1:12" ht="12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</row>
    <row r="328" spans="1:12" ht="12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</row>
    <row r="329" spans="1:12" ht="12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</row>
    <row r="330" spans="1:12" ht="12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</row>
    <row r="331" spans="1:12" ht="12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</row>
    <row r="332" spans="1:12" ht="12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</row>
    <row r="333" spans="1:12" ht="12.7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</row>
    <row r="334" spans="1:12" ht="12.7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</row>
    <row r="335" spans="1:12" ht="12.7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</row>
    <row r="336" spans="1:12" ht="12.7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</row>
    <row r="337" spans="1:12" ht="12.7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</row>
    <row r="338" spans="1:12" ht="12.7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</row>
    <row r="339" spans="1:12" ht="12.7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</row>
    <row r="340" spans="1:12" ht="12.7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</row>
    <row r="341" spans="1:12" ht="12.7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</row>
    <row r="342" spans="1:12" ht="12.7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</row>
    <row r="343" spans="1:12" ht="12.7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</row>
    <row r="344" spans="1:12" ht="12.7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</row>
    <row r="345" spans="1:12" ht="12.7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</row>
    <row r="346" spans="1:12" ht="12.7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</row>
    <row r="347" spans="1:12" ht="12.7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</row>
    <row r="348" spans="1:12" ht="12.7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</row>
    <row r="349" spans="1:12" ht="12.7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</row>
    <row r="350" spans="1:12" ht="12.7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</row>
    <row r="351" spans="1:12" ht="12.7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1:12" ht="12.7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</row>
    <row r="353" spans="1:12" ht="12.7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</row>
    <row r="354" spans="1:12" ht="12.7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</row>
    <row r="355" spans="1:12" ht="12.7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</row>
    <row r="356" spans="1:12" ht="12.7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</row>
    <row r="357" spans="1:12" ht="12.7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</row>
    <row r="358" spans="1:12" ht="12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</row>
    <row r="359" spans="1:12" ht="12.7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</row>
    <row r="360" spans="1:12" ht="12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</row>
    <row r="361" spans="1:12" ht="12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</row>
    <row r="362" spans="1:12" ht="12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</row>
    <row r="363" spans="1:12" ht="12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</row>
    <row r="364" spans="1:12" ht="12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</row>
    <row r="365" spans="1:12" ht="12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</row>
    <row r="366" spans="1:12" ht="12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</row>
    <row r="367" spans="1:12" ht="12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</row>
    <row r="368" spans="1:12" ht="12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</row>
    <row r="369" spans="1:12" ht="12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</row>
    <row r="370" spans="1:12" ht="12.7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</row>
    <row r="371" spans="1:12" ht="12.7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</row>
    <row r="372" spans="1:12" ht="12.7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</row>
    <row r="373" spans="1:12" ht="12.7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</row>
    <row r="374" spans="1:12" ht="12.7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</row>
    <row r="375" spans="1:12" ht="12.7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</row>
    <row r="376" spans="1:12" ht="12.7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</row>
    <row r="377" spans="1:12" ht="12.7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</row>
    <row r="378" spans="1:12" ht="12.7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</row>
    <row r="379" spans="1:12" ht="12.7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</row>
    <row r="380" spans="1:12" ht="12.7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</row>
    <row r="381" spans="1:12" ht="12.7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</row>
    <row r="382" spans="1:12" ht="12.7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</row>
    <row r="383" spans="1:12" ht="12.7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</row>
    <row r="384" spans="1:12" ht="12.7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</row>
    <row r="385" spans="1:12" ht="12.7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</row>
    <row r="386" spans="1:12" ht="12.7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</row>
    <row r="387" spans="1:12" ht="12.7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</row>
    <row r="388" spans="1:12" ht="12.7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</row>
    <row r="389" spans="1:12" ht="12.7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</row>
    <row r="390" spans="1:12" ht="12.7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</row>
    <row r="391" spans="1:12" ht="12.7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</row>
    <row r="392" spans="1:12" ht="12.7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</row>
    <row r="393" spans="1:12" ht="12.7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</row>
    <row r="394" spans="1:12" ht="12.7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</row>
    <row r="395" spans="1:12" ht="12.7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</row>
    <row r="396" spans="1:12" ht="12.7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</row>
    <row r="397" spans="1:12" ht="12.7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</row>
    <row r="398" spans="1:12" ht="12.7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</row>
    <row r="399" spans="1:12" ht="12.7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</row>
    <row r="400" spans="1:12" ht="12.7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</row>
    <row r="401" spans="1:12" ht="12.7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</row>
    <row r="402" spans="1:12" ht="12.7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</row>
    <row r="403" spans="1:12" ht="12.7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</row>
    <row r="404" spans="1:12" ht="12.7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</row>
    <row r="405" spans="1:12" ht="12.7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</row>
    <row r="406" spans="1:12" ht="12.7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</row>
    <row r="407" spans="1:12" ht="12.7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</row>
    <row r="408" spans="1:12" ht="12.7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</row>
    <row r="409" spans="1:12" ht="12.7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</row>
  </sheetData>
  <mergeCells count="69">
    <mergeCell ref="O136:P136"/>
    <mergeCell ref="M132:N132"/>
    <mergeCell ref="E136:F136"/>
    <mergeCell ref="G136:H136"/>
    <mergeCell ref="I136:J136"/>
    <mergeCell ref="K136:L136"/>
    <mergeCell ref="M136:N136"/>
    <mergeCell ref="E132:F132"/>
    <mergeCell ref="G132:H132"/>
    <mergeCell ref="I132:J132"/>
    <mergeCell ref="K132:L132"/>
    <mergeCell ref="M105:N105"/>
    <mergeCell ref="E105:F105"/>
    <mergeCell ref="G105:H105"/>
    <mergeCell ref="I105:J105"/>
    <mergeCell ref="G216:H216"/>
    <mergeCell ref="M11:N11"/>
    <mergeCell ref="M77:N77"/>
    <mergeCell ref="K110:L110"/>
    <mergeCell ref="M110:N110"/>
    <mergeCell ref="M114:N114"/>
    <mergeCell ref="K105:L105"/>
    <mergeCell ref="M55:N55"/>
    <mergeCell ref="G59:H59"/>
    <mergeCell ref="I59:J59"/>
    <mergeCell ref="O37:P37"/>
    <mergeCell ref="K77:L77"/>
    <mergeCell ref="O81:P81"/>
    <mergeCell ref="M81:N81"/>
    <mergeCell ref="K55:L55"/>
    <mergeCell ref="O59:P59"/>
    <mergeCell ref="K59:L59"/>
    <mergeCell ref="K81:L81"/>
    <mergeCell ref="O15:P15"/>
    <mergeCell ref="K11:L11"/>
    <mergeCell ref="K33:L33"/>
    <mergeCell ref="M33:N33"/>
    <mergeCell ref="K15:L15"/>
    <mergeCell ref="E11:F11"/>
    <mergeCell ref="G11:H11"/>
    <mergeCell ref="I11:J11"/>
    <mergeCell ref="E33:F33"/>
    <mergeCell ref="G33:H33"/>
    <mergeCell ref="I33:J33"/>
    <mergeCell ref="E15:F15"/>
    <mergeCell ref="G15:H15"/>
    <mergeCell ref="I15:J15"/>
    <mergeCell ref="E37:F37"/>
    <mergeCell ref="G37:H37"/>
    <mergeCell ref="I37:J37"/>
    <mergeCell ref="K37:L37"/>
    <mergeCell ref="E59:F59"/>
    <mergeCell ref="E55:F55"/>
    <mergeCell ref="G55:H55"/>
    <mergeCell ref="I55:J55"/>
    <mergeCell ref="E77:F77"/>
    <mergeCell ref="G77:H77"/>
    <mergeCell ref="I77:J77"/>
    <mergeCell ref="E110:F110"/>
    <mergeCell ref="G110:H110"/>
    <mergeCell ref="I110:J110"/>
    <mergeCell ref="E81:F81"/>
    <mergeCell ref="G81:H81"/>
    <mergeCell ref="I81:J81"/>
    <mergeCell ref="O114:P114"/>
    <mergeCell ref="E114:F114"/>
    <mergeCell ref="G114:H114"/>
    <mergeCell ref="I114:J114"/>
    <mergeCell ref="K114:L11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Forschungszentrum Jülich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Matusch</dc:creator>
  <cp:keywords/>
  <dc:description/>
  <cp:lastModifiedBy>Matusch</cp:lastModifiedBy>
  <dcterms:created xsi:type="dcterms:W3CDTF">2017-10-13T15:26:58Z</dcterms:created>
  <dcterms:modified xsi:type="dcterms:W3CDTF">2017-12-24T00:15:03Z</dcterms:modified>
  <cp:category/>
  <cp:version/>
  <cp:contentType/>
  <cp:contentStatus/>
</cp:coreProperties>
</file>